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<sst xmlns="http://schemas.openxmlformats.org/spreadsheetml/2006/main" count="1077" uniqueCount="215">
  <si>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</si>
  <si>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</si>
  <si>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</si>
  <si>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</si>
  <si>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</si>
  <si>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</si>
  <si>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</si>
  <si>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</si>
  <si>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</si>
  <si>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</si>
  <si>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</si>
  <si>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</si>
  <si>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</si>
  <si>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</si>
  <si>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</si>
  <si>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</si>
  <si>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</si>
  <si>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</si>
  <si>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</si>
  <si>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</si>
  <si>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</si>
  <si>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</si>
  <si>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</si>
  <si>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</si>
  <si>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</si>
  <si>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</si>
  <si>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</si>
  <si>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</si>
  <si>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</si>
  <si>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</si>
  <si>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</si>
  <si>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</si>
  <si>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</si>
  <si>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</si>
  <si>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</si>
  <si>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</si>
  <si>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</si>
  <si>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</si>
  <si>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</si>
  <si>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</si>
  <si>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</si>
  <si>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</si>
  <si>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</si>
  <si>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</si>
  <si>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</si>
  <si>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</si>
  <si>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</si>
  <si>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</si>
  <si>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</si>
  <si>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</si>
  <si>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</si>
  <si>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</si>
  <si>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</si>
  <si>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</si>
  <si>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</si>
  <si>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</si>
  <si>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</si>
  <si>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</si>
  <si>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</si>
  <si>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</si>
  <si>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</si>
  <si>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</si>
  <si>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</si>
  <si>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</si>
  <si>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</si>
  <si>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</si>
  <si>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</si>
  <si>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</si>
  <si>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</si>
  <si>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</si>
  <si>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</si>
  <si>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</si>
  <si>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</si>
  <si>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</si>
  <si>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</si>
  <si>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</si>
  <si>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</si>
  <si>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</si>
  <si>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</si>
  <si>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</si>
  <si>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</si>
  <si>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</si>
  <si>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</si>
  <si>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</si>
  <si>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</si>
  <si>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</si>
  <si>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</si>
  <si>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</si>
  <si>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</si>
  <si>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</si>
  <si>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</si>
  <si>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</si>
  <si>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</si>
  <si>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</si>
  <si>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</si>
  <si>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</si>
  <si>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</si>
  <si>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</si>
  <si>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</si>
  <si>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</si>
  <si>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</si>
  <si>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</si>
  <si>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</si>
  <si>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</si>
  <si>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</si>
  <si>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</si>
  <si>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</si>
  <si>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</si>
  <si>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</si>
  <si>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</si>
  <si>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</si>
  <si>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</si>
  <si>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</si>
  <si>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</si>
  <si>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</si>
  <si>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</si>
  <si>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</si>
  <si>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</si>
  <si>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</si>
  <si>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</si>
  <si>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</si>
  <si>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</si>
  <si>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</si>
  <si>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</si>
  <si>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</si>
  <si>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</si>
  <si>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</si>
  <si>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</si>
  <si>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</si>
  <si>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</si>
  <si>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</si>
  <si>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</si>
  <si>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</si>
  <si>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</si>
  <si>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</si>
  <si>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</si>
  <si>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</si>
  <si>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</si>
  <si>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</si>
  <si>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</si>
  <si>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</si>
  <si>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</si>
  <si>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</si>
  <si>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</si>
  <si>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</si>
  <si>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</si>
  <si>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</si>
  <si>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</si>
  <si>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</si>
  <si>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</si>
  <si>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</si>
  <si>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</si>
  <si>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</si>
  <si>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</si>
  <si>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</si>
  <si>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</si>
  <si>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</si>
  <si>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</si>
  <si>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</si>
  <si>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</si>
  <si>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</si>
  <si>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</si>
  <si>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</si>
  <si>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</si>
  <si>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</si>
  <si>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</si>
  <si>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</si>
  <si>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</si>
  <si>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</si>
  <si>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</si>
  <si>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</si>
  <si>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</si>
  <si>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</si>
  <si>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</si>
  <si>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</si>
  <si>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</si>
  <si>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</si>
  <si>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</si>
  <si>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</si>
  <si>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</si>
  <si>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</si>
  <si>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</si>
  <si>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</si>
  <si>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</si>
  <si>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</si>
  <si>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</si>
  <si>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</si>
  <si>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</si>
  <si>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</si>
  <si>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</si>
  <si>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</si>
  <si>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</si>
  <si>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</si>
  <si>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</si>
  <si>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</si>
  <si>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</si>
  <si>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</si>
  <si>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</si>
  <si>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</si>
  <si>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</si>
  <si>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</si>
  <si>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</si>
  <si>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</si>
  <si>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</si>
  <si>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</si>
  <si>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</si>
  <si>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</si>
  <si>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</si>
  <si>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</si>
  <si>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</si>
  <si>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</si>
  <si>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</si>
  <si>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</si>
  <si>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25.07.2017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</si>
  <si>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24.07.17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</si>
</sst>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213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205</v>
      </c>
      <c r="O3" s="305" t="s">
        <v>207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206</v>
      </c>
      <c r="F4" s="308" t="s">
        <v>33</v>
      </c>
      <c r="G4" s="310" t="s">
        <v>208</v>
      </c>
      <c r="H4" s="303" t="s">
        <v>209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214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212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688115.83</v>
      </c>
      <c r="G8" s="149">
        <f aca="true" t="shared" si="0" ref="G8:G40">F8-E8</f>
        <v>-39224.369999999995</v>
      </c>
      <c r="H8" s="150">
        <f>F8/E8*100</f>
        <v>94.60714944671008</v>
      </c>
      <c r="I8" s="151">
        <f>F8-D8</f>
        <v>-610335.2700000001</v>
      </c>
      <c r="J8" s="151">
        <f>F8/D8*100</f>
        <v>52.99512858050641</v>
      </c>
      <c r="K8" s="149">
        <v>543806.97</v>
      </c>
      <c r="L8" s="149">
        <f aca="true" t="shared" si="1" ref="L8:L54">F8-K8</f>
        <v>144308.86</v>
      </c>
      <c r="M8" s="203">
        <f aca="true" t="shared" si="2" ref="M8:M31">F8/K8</f>
        <v>1.2653678013726084</v>
      </c>
      <c r="N8" s="149">
        <f>N9+N15+N18+N19+N23+N17</f>
        <v>118464.60000000003</v>
      </c>
      <c r="O8" s="149">
        <f>O9+O15+O18+O19+O23+O17</f>
        <v>78645.70999999996</v>
      </c>
      <c r="P8" s="149">
        <f>O8-N8</f>
        <v>-39818.89000000007</v>
      </c>
      <c r="Q8" s="149">
        <f>O8/N8*100</f>
        <v>66.38751998487307</v>
      </c>
      <c r="R8" s="15">
        <f>R9+R15+R18+R19+R23</f>
        <v>102514</v>
      </c>
      <c r="S8" s="15">
        <f>O8-R8</f>
        <v>-23868.290000000037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401937.79</v>
      </c>
      <c r="G9" s="148">
        <f t="shared" si="0"/>
        <v>-14602.210000000021</v>
      </c>
      <c r="H9" s="155">
        <f>F9/E9*100</f>
        <v>96.49440389878524</v>
      </c>
      <c r="I9" s="156">
        <f>F9-D9</f>
        <v>-364707.21</v>
      </c>
      <c r="J9" s="156">
        <f>F9/D9*100</f>
        <v>52.428149925976165</v>
      </c>
      <c r="K9" s="225">
        <v>295409.71</v>
      </c>
      <c r="L9" s="157">
        <f t="shared" si="1"/>
        <v>106528.07999999996</v>
      </c>
      <c r="M9" s="204">
        <f t="shared" si="2"/>
        <v>1.3606113015039347</v>
      </c>
      <c r="N9" s="155">
        <f>E9-червень!E9</f>
        <v>67300</v>
      </c>
      <c r="O9" s="158">
        <f>F9-червень!F9</f>
        <v>50395.409999999974</v>
      </c>
      <c r="P9" s="159">
        <f>O9-N9</f>
        <v>-16904.590000000026</v>
      </c>
      <c r="Q9" s="156">
        <f>O9/N9*100</f>
        <v>74.88173848439817</v>
      </c>
      <c r="R9" s="99">
        <v>71000</v>
      </c>
      <c r="S9" s="99">
        <f>O9-R9</f>
        <v>-20604.590000000026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369023.01</v>
      </c>
      <c r="G10" s="102">
        <f t="shared" si="0"/>
        <v>-9584.98999999999</v>
      </c>
      <c r="H10" s="29">
        <f aca="true" t="shared" si="3" ref="H10:H39">F10/E10*100</f>
        <v>97.46836041499387</v>
      </c>
      <c r="I10" s="103">
        <f aca="true" t="shared" si="4" ref="I10:I40">F10-D10</f>
        <v>-332293.99</v>
      </c>
      <c r="J10" s="103">
        <f aca="true" t="shared" si="5" ref="J10:J39">F10/D10*100</f>
        <v>52.61857476718802</v>
      </c>
      <c r="K10" s="105">
        <v>259105.9</v>
      </c>
      <c r="L10" s="105">
        <f t="shared" si="1"/>
        <v>109917.11000000002</v>
      </c>
      <c r="M10" s="205">
        <f t="shared" si="2"/>
        <v>1.4242169321501363</v>
      </c>
      <c r="N10" s="104">
        <f>E10-червень!E10</f>
        <v>60544</v>
      </c>
      <c r="O10" s="142">
        <f>F10-червень!F10</f>
        <v>46478.25</v>
      </c>
      <c r="P10" s="105">
        <f aca="true" t="shared" si="6" ref="P10:P40">O10-N10</f>
        <v>-14065.75</v>
      </c>
      <c r="Q10" s="103">
        <f aca="true" t="shared" si="7" ref="Q10:Q27">O10/N10*100</f>
        <v>76.76772264799155</v>
      </c>
      <c r="R10" s="36"/>
      <c r="S10" s="99">
        <f aca="true" t="shared" si="8" ref="S10:S35">O10-R10</f>
        <v>46478.25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21022.12</v>
      </c>
      <c r="G11" s="102">
        <f t="shared" si="0"/>
        <v>-5257.880000000001</v>
      </c>
      <c r="H11" s="29">
        <f t="shared" si="3"/>
        <v>79.99284627092847</v>
      </c>
      <c r="I11" s="103">
        <f t="shared" si="4"/>
        <v>-25483.88</v>
      </c>
      <c r="J11" s="103">
        <f t="shared" si="5"/>
        <v>45.20302756633552</v>
      </c>
      <c r="K11" s="105">
        <v>21586.03</v>
      </c>
      <c r="L11" s="105">
        <f t="shared" si="1"/>
        <v>-563.9099999999999</v>
      </c>
      <c r="M11" s="205">
        <f t="shared" si="2"/>
        <v>0.973876159719967</v>
      </c>
      <c r="N11" s="104">
        <f>E11-червень!E11</f>
        <v>4080</v>
      </c>
      <c r="O11" s="142">
        <f>F11-червень!F11</f>
        <v>1936.2299999999996</v>
      </c>
      <c r="P11" s="105">
        <f t="shared" si="6"/>
        <v>-2143.7700000000004</v>
      </c>
      <c r="Q11" s="103">
        <f t="shared" si="7"/>
        <v>47.45661764705881</v>
      </c>
      <c r="R11" s="36"/>
      <c r="S11" s="99">
        <f t="shared" si="8"/>
        <v>1936.2299999999996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5051.13</v>
      </c>
      <c r="G12" s="102">
        <f t="shared" si="0"/>
        <v>611.1300000000001</v>
      </c>
      <c r="H12" s="29">
        <f t="shared" si="3"/>
        <v>113.7641891891892</v>
      </c>
      <c r="I12" s="103">
        <f t="shared" si="4"/>
        <v>-3228.87</v>
      </c>
      <c r="J12" s="103">
        <f t="shared" si="5"/>
        <v>61.003985507246384</v>
      </c>
      <c r="K12" s="105">
        <v>5837.44</v>
      </c>
      <c r="L12" s="105">
        <f t="shared" si="1"/>
        <v>-786.3099999999995</v>
      </c>
      <c r="M12" s="205">
        <f t="shared" si="2"/>
        <v>0.8652988296239448</v>
      </c>
      <c r="N12" s="104">
        <f>E12-червень!E12</f>
        <v>600</v>
      </c>
      <c r="O12" s="142">
        <f>F12-червень!F12</f>
        <v>538.1000000000004</v>
      </c>
      <c r="P12" s="105">
        <f t="shared" si="6"/>
        <v>-61.899999999999636</v>
      </c>
      <c r="Q12" s="103">
        <f t="shared" si="7"/>
        <v>89.6833333333334</v>
      </c>
      <c r="R12" s="36"/>
      <c r="S12" s="99">
        <f t="shared" si="8"/>
        <v>538.1000000000004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6020.79</v>
      </c>
      <c r="G13" s="102">
        <f t="shared" si="0"/>
        <v>-519.21</v>
      </c>
      <c r="H13" s="29">
        <f t="shared" si="3"/>
        <v>92.06100917431192</v>
      </c>
      <c r="I13" s="103">
        <f t="shared" si="4"/>
        <v>-3369.21</v>
      </c>
      <c r="J13" s="103">
        <f t="shared" si="5"/>
        <v>64.11916932907347</v>
      </c>
      <c r="K13" s="105">
        <v>6429.46</v>
      </c>
      <c r="L13" s="105">
        <f t="shared" si="1"/>
        <v>-408.6700000000001</v>
      </c>
      <c r="M13" s="205">
        <f t="shared" si="2"/>
        <v>0.9364378968062637</v>
      </c>
      <c r="N13" s="104">
        <f>E13-червень!E13</f>
        <v>1980</v>
      </c>
      <c r="O13" s="142">
        <f>F13-червень!F13</f>
        <v>1329.62</v>
      </c>
      <c r="P13" s="105">
        <f t="shared" si="6"/>
        <v>-650.3800000000001</v>
      </c>
      <c r="Q13" s="103">
        <f t="shared" si="7"/>
        <v>67.15252525252525</v>
      </c>
      <c r="R13" s="36"/>
      <c r="S13" s="99">
        <f t="shared" si="8"/>
        <v>1329.62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820.73</v>
      </c>
      <c r="G14" s="102">
        <f t="shared" si="0"/>
        <v>148.73000000000002</v>
      </c>
      <c r="H14" s="29">
        <f t="shared" si="3"/>
        <v>122.13244047619047</v>
      </c>
      <c r="I14" s="103">
        <f t="shared" si="4"/>
        <v>-331.27</v>
      </c>
      <c r="J14" s="103">
        <f t="shared" si="5"/>
        <v>71.24392361111111</v>
      </c>
      <c r="K14" s="105">
        <v>2450.88</v>
      </c>
      <c r="L14" s="105">
        <f t="shared" si="1"/>
        <v>-1630.15</v>
      </c>
      <c r="M14" s="205">
        <f t="shared" si="2"/>
        <v>0.33487155633894766</v>
      </c>
      <c r="N14" s="104">
        <f>E14-червень!E14</f>
        <v>96</v>
      </c>
      <c r="O14" s="142">
        <f>F14-червень!F14</f>
        <v>113.20000000000005</v>
      </c>
      <c r="P14" s="105">
        <f t="shared" si="6"/>
        <v>17.200000000000045</v>
      </c>
      <c r="Q14" s="103">
        <f t="shared" si="7"/>
        <v>117.91666666666671</v>
      </c>
      <c r="R14" s="36"/>
      <c r="S14" s="99">
        <f t="shared" si="8"/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E15-червень!E15</f>
        <v>0</v>
      </c>
      <c r="O15" s="166">
        <f>F15-червень!F15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56938.48</v>
      </c>
      <c r="G19" s="160">
        <f t="shared" si="0"/>
        <v>-14161.519999999997</v>
      </c>
      <c r="H19" s="162">
        <f t="shared" si="3"/>
        <v>80.08225035161745</v>
      </c>
      <c r="I19" s="163">
        <f t="shared" si="4"/>
        <v>-73061.51999999999</v>
      </c>
      <c r="J19" s="163">
        <f t="shared" si="5"/>
        <v>43.798830769230776</v>
      </c>
      <c r="K19" s="159">
        <v>54291.2</v>
      </c>
      <c r="L19" s="165">
        <f t="shared" si="1"/>
        <v>2647.280000000006</v>
      </c>
      <c r="M19" s="211">
        <f t="shared" si="2"/>
        <v>1.0487607568077333</v>
      </c>
      <c r="N19" s="162">
        <f>E19-червень!E19</f>
        <v>11500</v>
      </c>
      <c r="O19" s="166">
        <f>F19-червень!F19</f>
        <v>2978.3700000000026</v>
      </c>
      <c r="P19" s="165">
        <f t="shared" si="6"/>
        <v>-8521.629999999997</v>
      </c>
      <c r="Q19" s="163">
        <f t="shared" si="7"/>
        <v>25.898869565217414</v>
      </c>
      <c r="R19" s="291">
        <v>8800</v>
      </c>
      <c r="S19" s="99">
        <f t="shared" si="8"/>
        <v>-5821.629999999997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33886.11</v>
      </c>
      <c r="G20" s="250">
        <f t="shared" si="0"/>
        <v>-8563.89</v>
      </c>
      <c r="H20" s="193">
        <f t="shared" si="3"/>
        <v>79.82593639575973</v>
      </c>
      <c r="I20" s="251">
        <f t="shared" si="4"/>
        <v>-42613.89</v>
      </c>
      <c r="J20" s="251">
        <f t="shared" si="5"/>
        <v>44.29556862745098</v>
      </c>
      <c r="K20" s="252">
        <v>54291.2</v>
      </c>
      <c r="L20" s="164">
        <f t="shared" si="1"/>
        <v>-20405.089999999997</v>
      </c>
      <c r="M20" s="253">
        <f t="shared" si="2"/>
        <v>0.6241547433101498</v>
      </c>
      <c r="N20" s="193">
        <f>E20-червень!E20</f>
        <v>6550</v>
      </c>
      <c r="O20" s="177">
        <f>F20-червень!F20</f>
        <v>2650.850000000002</v>
      </c>
      <c r="P20" s="164">
        <f t="shared" si="6"/>
        <v>-3899.149999999998</v>
      </c>
      <c r="Q20" s="251">
        <f t="shared" si="7"/>
        <v>40.47099236641225</v>
      </c>
      <c r="R20" s="103">
        <v>4450</v>
      </c>
      <c r="S20" s="103">
        <f t="shared" si="8"/>
        <v>-1799.1499999999978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229076.05</v>
      </c>
      <c r="G23" s="148">
        <f t="shared" si="0"/>
        <v>-10213.150000000023</v>
      </c>
      <c r="H23" s="155">
        <f t="shared" si="3"/>
        <v>95.7318800848513</v>
      </c>
      <c r="I23" s="156">
        <f t="shared" si="4"/>
        <v>-172054.05</v>
      </c>
      <c r="J23" s="156">
        <f t="shared" si="5"/>
        <v>57.1076690579939</v>
      </c>
      <c r="K23" s="156">
        <v>193690.84</v>
      </c>
      <c r="L23" s="159">
        <f t="shared" si="1"/>
        <v>35385.20999999999</v>
      </c>
      <c r="M23" s="207">
        <f t="shared" si="2"/>
        <v>1.1826891245863769</v>
      </c>
      <c r="N23" s="155">
        <f>E23-червень!E23</f>
        <v>39664.600000000035</v>
      </c>
      <c r="O23" s="158">
        <f>F23-червень!F23</f>
        <v>25271.929999999993</v>
      </c>
      <c r="P23" s="159">
        <f t="shared" si="6"/>
        <v>-14392.670000000042</v>
      </c>
      <c r="Q23" s="156">
        <f t="shared" si="7"/>
        <v>63.714067455615265</v>
      </c>
      <c r="R23" s="285">
        <f>R24+R33+R35</f>
        <v>22714</v>
      </c>
      <c r="S23" s="291">
        <f t="shared" si="8"/>
        <v>2557.929999999993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107846.06</v>
      </c>
      <c r="G24" s="148">
        <f t="shared" si="0"/>
        <v>-12224.839999999997</v>
      </c>
      <c r="H24" s="155">
        <f t="shared" si="3"/>
        <v>89.8186488149918</v>
      </c>
      <c r="I24" s="156">
        <f t="shared" si="4"/>
        <v>-98774.94</v>
      </c>
      <c r="J24" s="156">
        <f t="shared" si="5"/>
        <v>52.19511085514057</v>
      </c>
      <c r="K24" s="156">
        <v>105956.73</v>
      </c>
      <c r="L24" s="159">
        <f t="shared" si="1"/>
        <v>1889.3300000000017</v>
      </c>
      <c r="M24" s="207">
        <f t="shared" si="2"/>
        <v>1.0178311467331995</v>
      </c>
      <c r="N24" s="155">
        <f>E24-червень!E24</f>
        <v>21398</v>
      </c>
      <c r="O24" s="158">
        <f>F24-червень!F24</f>
        <v>8452.39</v>
      </c>
      <c r="P24" s="159">
        <f t="shared" si="6"/>
        <v>-12945.61</v>
      </c>
      <c r="Q24" s="156">
        <f t="shared" si="7"/>
        <v>39.500841200112156</v>
      </c>
      <c r="R24" s="290">
        <f>R25+R28+R29</f>
        <v>15007</v>
      </c>
      <c r="S24" s="290">
        <f t="shared" si="8"/>
        <v>-6554.610000000001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13244.44</v>
      </c>
      <c r="G25" s="169">
        <f t="shared" si="0"/>
        <v>-1954.6599999999999</v>
      </c>
      <c r="H25" s="171">
        <f t="shared" si="3"/>
        <v>87.13963326775928</v>
      </c>
      <c r="I25" s="172">
        <f t="shared" si="4"/>
        <v>-9564.56</v>
      </c>
      <c r="J25" s="172">
        <f t="shared" si="5"/>
        <v>58.06672804594678</v>
      </c>
      <c r="K25" s="173">
        <v>13870.14</v>
      </c>
      <c r="L25" s="164">
        <f t="shared" si="1"/>
        <v>-625.6999999999989</v>
      </c>
      <c r="M25" s="213">
        <f t="shared" si="2"/>
        <v>0.9548887033584377</v>
      </c>
      <c r="N25" s="193">
        <f>E25-червень!E25</f>
        <v>4810</v>
      </c>
      <c r="O25" s="177">
        <f>F25-червень!F25</f>
        <v>2158.91</v>
      </c>
      <c r="P25" s="175">
        <f t="shared" si="6"/>
        <v>-2651.09</v>
      </c>
      <c r="Q25" s="172">
        <f t="shared" si="7"/>
        <v>44.883783783783784</v>
      </c>
      <c r="R25" s="103">
        <v>800</v>
      </c>
      <c r="S25" s="103">
        <f t="shared" si="8"/>
        <v>1358.9099999999999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288.44</v>
      </c>
      <c r="G26" s="196">
        <f t="shared" si="0"/>
        <v>-871.56</v>
      </c>
      <c r="H26" s="197">
        <f t="shared" si="3"/>
        <v>24.865517241379308</v>
      </c>
      <c r="I26" s="198">
        <f t="shared" si="4"/>
        <v>-1533.86</v>
      </c>
      <c r="J26" s="198">
        <f t="shared" si="5"/>
        <v>15.82834878999067</v>
      </c>
      <c r="K26" s="198">
        <v>537.83</v>
      </c>
      <c r="L26" s="198">
        <f t="shared" si="1"/>
        <v>-249.39000000000004</v>
      </c>
      <c r="M26" s="226">
        <f t="shared" si="2"/>
        <v>0.5363032928620567</v>
      </c>
      <c r="N26" s="234">
        <f>E26-червень!E26</f>
        <v>450</v>
      </c>
      <c r="O26" s="234">
        <f>F26-червень!F26</f>
        <v>75.18</v>
      </c>
      <c r="P26" s="198">
        <f t="shared" si="6"/>
        <v>-374.82</v>
      </c>
      <c r="Q26" s="198">
        <f t="shared" si="7"/>
        <v>16.706666666666667</v>
      </c>
      <c r="R26" s="103"/>
      <c r="S26" s="103">
        <f t="shared" si="8"/>
        <v>75.18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12956</v>
      </c>
      <c r="G27" s="196">
        <f t="shared" si="0"/>
        <v>-1083.1000000000004</v>
      </c>
      <c r="H27" s="197">
        <f t="shared" si="3"/>
        <v>92.28511799189405</v>
      </c>
      <c r="I27" s="198">
        <f t="shared" si="4"/>
        <v>-8030.700000000001</v>
      </c>
      <c r="J27" s="198">
        <f t="shared" si="5"/>
        <v>61.73433650836005</v>
      </c>
      <c r="K27" s="198">
        <v>13332.31</v>
      </c>
      <c r="L27" s="198">
        <f t="shared" si="1"/>
        <v>-376.3099999999995</v>
      </c>
      <c r="M27" s="226">
        <f t="shared" si="2"/>
        <v>0.9717745836992989</v>
      </c>
      <c r="N27" s="234">
        <f>E27-червень!E27</f>
        <v>4360</v>
      </c>
      <c r="O27" s="234">
        <f>F27-червень!F27</f>
        <v>2083.74</v>
      </c>
      <c r="P27" s="198">
        <f t="shared" si="6"/>
        <v>-2276.26</v>
      </c>
      <c r="Q27" s="198">
        <f t="shared" si="7"/>
        <v>47.79220183486238</v>
      </c>
      <c r="R27" s="103"/>
      <c r="S27" s="103">
        <f t="shared" si="8"/>
        <v>2083.74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-78.81</v>
      </c>
      <c r="G28" s="169">
        <f t="shared" si="0"/>
        <v>-335.61</v>
      </c>
      <c r="H28" s="171">
        <f t="shared" si="3"/>
        <v>-30.689252336448597</v>
      </c>
      <c r="I28" s="172">
        <f t="shared" si="4"/>
        <v>-898.81</v>
      </c>
      <c r="J28" s="172">
        <f t="shared" si="5"/>
        <v>-9.610975609756098</v>
      </c>
      <c r="K28" s="172">
        <v>478.8</v>
      </c>
      <c r="L28" s="172">
        <f t="shared" si="1"/>
        <v>-557.61</v>
      </c>
      <c r="M28" s="210">
        <f t="shared" si="2"/>
        <v>-0.16459899749373433</v>
      </c>
      <c r="N28" s="193">
        <f>E28-червень!E28</f>
        <v>123</v>
      </c>
      <c r="O28" s="177">
        <f>F28-червень!F28</f>
        <v>10.420000000000002</v>
      </c>
      <c r="P28" s="175">
        <f t="shared" si="6"/>
        <v>-112.58</v>
      </c>
      <c r="Q28" s="172">
        <f>O28/N28*100</f>
        <v>8.471544715447155</v>
      </c>
      <c r="R28" s="103">
        <v>-25</v>
      </c>
      <c r="S28" s="103">
        <f t="shared" si="8"/>
        <v>35.42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94680.43</v>
      </c>
      <c r="G29" s="169">
        <f t="shared" si="0"/>
        <v>-9934.570000000007</v>
      </c>
      <c r="H29" s="171">
        <f t="shared" si="3"/>
        <v>90.50368494001816</v>
      </c>
      <c r="I29" s="172">
        <f t="shared" si="4"/>
        <v>-88311.57</v>
      </c>
      <c r="J29" s="172">
        <f t="shared" si="5"/>
        <v>51.740201757453875</v>
      </c>
      <c r="K29" s="173">
        <v>91607.79</v>
      </c>
      <c r="L29" s="173">
        <f t="shared" si="1"/>
        <v>3072.6399999999994</v>
      </c>
      <c r="M29" s="209">
        <f t="shared" si="2"/>
        <v>1.0335412523323617</v>
      </c>
      <c r="N29" s="193">
        <f>E29-червень!E29</f>
        <v>16465</v>
      </c>
      <c r="O29" s="177">
        <f>F29-червень!F29</f>
        <v>6283.059999999998</v>
      </c>
      <c r="P29" s="175">
        <f t="shared" si="6"/>
        <v>-10181.940000000002</v>
      </c>
      <c r="Q29" s="172">
        <f>O29/N29*100</f>
        <v>38.1600971758275</v>
      </c>
      <c r="R29" s="103">
        <v>14232</v>
      </c>
      <c r="S29" s="103">
        <f t="shared" si="8"/>
        <v>-7948.940000000002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32520.34</v>
      </c>
      <c r="G30" s="196">
        <f t="shared" si="0"/>
        <v>-194.65999999999985</v>
      </c>
      <c r="H30" s="197">
        <f t="shared" si="3"/>
        <v>99.40498242396454</v>
      </c>
      <c r="I30" s="198">
        <f t="shared" si="4"/>
        <v>-25012.66</v>
      </c>
      <c r="J30" s="198">
        <f t="shared" si="5"/>
        <v>56.52467279648202</v>
      </c>
      <c r="K30" s="198">
        <v>29285.76</v>
      </c>
      <c r="L30" s="198">
        <f t="shared" si="1"/>
        <v>3234.5800000000017</v>
      </c>
      <c r="M30" s="226">
        <f t="shared" si="2"/>
        <v>1.1104489007626916</v>
      </c>
      <c r="N30" s="234">
        <f>E30-червень!E30</f>
        <v>5935</v>
      </c>
      <c r="O30" s="234">
        <f>F30-червень!F30</f>
        <v>1862.3899999999994</v>
      </c>
      <c r="P30" s="198">
        <f t="shared" si="6"/>
        <v>-4072.6100000000006</v>
      </c>
      <c r="Q30" s="198">
        <f>O30/N30*100</f>
        <v>31.379780960404368</v>
      </c>
      <c r="R30" s="106"/>
      <c r="S30" s="99">
        <f t="shared" si="8"/>
        <v>1862.3899999999994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62160.09</v>
      </c>
      <c r="G31" s="196">
        <f t="shared" si="0"/>
        <v>-9739.910000000003</v>
      </c>
      <c r="H31" s="197">
        <f t="shared" si="3"/>
        <v>86.45353268428372</v>
      </c>
      <c r="I31" s="198">
        <f t="shared" si="4"/>
        <v>-63298.91</v>
      </c>
      <c r="J31" s="198">
        <f t="shared" si="5"/>
        <v>49.546138579137406</v>
      </c>
      <c r="K31" s="198">
        <v>62322.03</v>
      </c>
      <c r="L31" s="198">
        <f t="shared" si="1"/>
        <v>-161.94000000000233</v>
      </c>
      <c r="M31" s="226">
        <f t="shared" si="2"/>
        <v>0.9974015608926731</v>
      </c>
      <c r="N31" s="234">
        <f>E31-червень!E31</f>
        <v>10530</v>
      </c>
      <c r="O31" s="234">
        <f>F31-червень!F31</f>
        <v>4420.669999999998</v>
      </c>
      <c r="P31" s="198">
        <f t="shared" si="6"/>
        <v>-6109.330000000002</v>
      </c>
      <c r="Q31" s="198">
        <f>O31/N31*100</f>
        <v>41.98167141500473</v>
      </c>
      <c r="R31" s="106"/>
      <c r="S31" s="99">
        <f t="shared" si="8"/>
        <v>4420.669999999998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82.98</v>
      </c>
      <c r="G33" s="148">
        <f t="shared" si="0"/>
        <v>27.380000000000003</v>
      </c>
      <c r="H33" s="155">
        <f t="shared" si="3"/>
        <v>149.24460431654677</v>
      </c>
      <c r="I33" s="156">
        <f t="shared" si="4"/>
        <v>-32.019999999999996</v>
      </c>
      <c r="J33" s="156">
        <f t="shared" si="5"/>
        <v>72.15652173913044</v>
      </c>
      <c r="K33" s="156">
        <v>65.62</v>
      </c>
      <c r="L33" s="156">
        <f t="shared" si="1"/>
        <v>17.36</v>
      </c>
      <c r="M33" s="208">
        <f>F33/K33</f>
        <v>1.2645534897896982</v>
      </c>
      <c r="N33" s="155">
        <f>E33-червень!E33</f>
        <v>9.600000000000001</v>
      </c>
      <c r="O33" s="158">
        <f>F33-червень!F33</f>
        <v>3.75</v>
      </c>
      <c r="P33" s="159">
        <f t="shared" si="6"/>
        <v>-5.850000000000001</v>
      </c>
      <c r="Q33" s="156">
        <f>O33/N33*100</f>
        <v>39.06249999999999</v>
      </c>
      <c r="R33" s="290">
        <v>7</v>
      </c>
      <c r="S33" s="290">
        <f t="shared" si="8"/>
        <v>-3.25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-33.52</v>
      </c>
      <c r="G34" s="148">
        <f t="shared" si="0"/>
        <v>-33.52</v>
      </c>
      <c r="H34" s="155"/>
      <c r="I34" s="156">
        <f t="shared" si="4"/>
        <v>-33.52</v>
      </c>
      <c r="J34" s="156"/>
      <c r="K34" s="156">
        <v>-138.73</v>
      </c>
      <c r="L34" s="156">
        <f t="shared" si="1"/>
        <v>105.20999999999998</v>
      </c>
      <c r="M34" s="208">
        <f>F34/K34</f>
        <v>0.24162041375333385</v>
      </c>
      <c r="N34" s="155">
        <f>E34-червень!E34</f>
        <v>0</v>
      </c>
      <c r="O34" s="158">
        <f>F34-червень!F34</f>
        <v>-2.200000000000003</v>
      </c>
      <c r="P34" s="159">
        <f t="shared" si="6"/>
        <v>-2.200000000000003</v>
      </c>
      <c r="Q34" s="156"/>
      <c r="R34" s="290"/>
      <c r="S34" s="290">
        <f t="shared" si="8"/>
        <v>-2.200000000000003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121180.33</v>
      </c>
      <c r="G35" s="160">
        <f t="shared" si="0"/>
        <v>2017.6300000000047</v>
      </c>
      <c r="H35" s="162">
        <f t="shared" si="3"/>
        <v>101.69317244406177</v>
      </c>
      <c r="I35" s="163">
        <f t="shared" si="4"/>
        <v>-73213.77</v>
      </c>
      <c r="J35" s="163">
        <f t="shared" si="5"/>
        <v>62.33745262844911</v>
      </c>
      <c r="K35" s="176">
        <v>87807.07</v>
      </c>
      <c r="L35" s="176">
        <f>F35-K35</f>
        <v>33373.259999999995</v>
      </c>
      <c r="M35" s="224">
        <f>F35/K35</f>
        <v>1.3800748618533791</v>
      </c>
      <c r="N35" s="155">
        <f>E35-червень!E35</f>
        <v>18257</v>
      </c>
      <c r="O35" s="158">
        <f>F35-червень!F35</f>
        <v>16817.990000000005</v>
      </c>
      <c r="P35" s="165">
        <f t="shared" si="6"/>
        <v>-1439.0099999999948</v>
      </c>
      <c r="Q35" s="163">
        <f>O35/N35*100</f>
        <v>92.1180369173468</v>
      </c>
      <c r="R35" s="290">
        <v>7700</v>
      </c>
      <c r="S35" s="290">
        <f t="shared" si="8"/>
        <v>9117.990000000005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22972.41</v>
      </c>
      <c r="G37" s="102">
        <f t="shared" si="0"/>
        <v>-297.59000000000015</v>
      </c>
      <c r="H37" s="104">
        <f t="shared" si="3"/>
        <v>98.72114310270734</v>
      </c>
      <c r="I37" s="103">
        <f t="shared" si="4"/>
        <v>-18027.59</v>
      </c>
      <c r="J37" s="103">
        <f t="shared" si="5"/>
        <v>56.030268292682926</v>
      </c>
      <c r="K37" s="126">
        <v>21754.51</v>
      </c>
      <c r="L37" s="126">
        <f t="shared" si="1"/>
        <v>1217.9000000000015</v>
      </c>
      <c r="M37" s="214">
        <f t="shared" si="9"/>
        <v>1.0559837937053054</v>
      </c>
      <c r="N37" s="104">
        <f>E37-червень!E37</f>
        <v>3250</v>
      </c>
      <c r="O37" s="142">
        <f>F37-червень!F37</f>
        <v>2684.3499999999985</v>
      </c>
      <c r="P37" s="105">
        <f t="shared" si="6"/>
        <v>-565.6500000000015</v>
      </c>
      <c r="Q37" s="103">
        <f>O37/N37*100</f>
        <v>82.59538461538457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98184.41</v>
      </c>
      <c r="G38" s="102">
        <f t="shared" si="0"/>
        <v>2324.4100000000035</v>
      </c>
      <c r="H38" s="104">
        <f t="shared" si="3"/>
        <v>102.42479657834342</v>
      </c>
      <c r="I38" s="103">
        <f t="shared" si="4"/>
        <v>-55154.69</v>
      </c>
      <c r="J38" s="103">
        <f t="shared" si="5"/>
        <v>64.03090275083133</v>
      </c>
      <c r="K38" s="126">
        <v>66031.82</v>
      </c>
      <c r="L38" s="126">
        <f t="shared" si="1"/>
        <v>32152.589999999997</v>
      </c>
      <c r="M38" s="214">
        <f t="shared" si="9"/>
        <v>1.486925697338041</v>
      </c>
      <c r="N38" s="104">
        <f>E38-червень!E38</f>
        <v>15000</v>
      </c>
      <c r="O38" s="142">
        <f>F38-червень!F38</f>
        <v>14133.64</v>
      </c>
      <c r="P38" s="105">
        <f t="shared" si="6"/>
        <v>-866.3600000000006</v>
      </c>
      <c r="Q38" s="103">
        <f>O38/N38*100</f>
        <v>94.22426666666667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23.5</v>
      </c>
      <c r="G39" s="102">
        <f t="shared" si="0"/>
        <v>-9.200000000000003</v>
      </c>
      <c r="H39" s="104">
        <f t="shared" si="3"/>
        <v>71.86544342507645</v>
      </c>
      <c r="I39" s="103">
        <f t="shared" si="4"/>
        <v>-31.5</v>
      </c>
      <c r="J39" s="103">
        <f t="shared" si="5"/>
        <v>42.72727272727273</v>
      </c>
      <c r="K39" s="126">
        <v>20.52</v>
      </c>
      <c r="L39" s="126">
        <f t="shared" si="1"/>
        <v>2.9800000000000004</v>
      </c>
      <c r="M39" s="214">
        <f t="shared" si="9"/>
        <v>1.1452241715399611</v>
      </c>
      <c r="N39" s="104">
        <f>E39-червень!E39</f>
        <v>7.0000000000000036</v>
      </c>
      <c r="O39" s="142">
        <f>F39-червень!F39</f>
        <v>0</v>
      </c>
      <c r="P39" s="105">
        <f t="shared" si="6"/>
        <v>-7.0000000000000036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39590.27</v>
      </c>
      <c r="G41" s="284">
        <f>G42+G43+G44+G45+G46+G48+G50+G51+G52+G53+G54+G59+G60+G64+G47+G49</f>
        <v>4396.570000000001</v>
      </c>
      <c r="H41" s="150">
        <f>F41/E41*100</f>
        <v>112.49249155388608</v>
      </c>
      <c r="I41" s="151">
        <f>F41-D41</f>
        <v>-19434.730000000003</v>
      </c>
      <c r="J41" s="151">
        <f>F41/D41*100</f>
        <v>67.07373146971621</v>
      </c>
      <c r="K41" s="149">
        <v>36786.28</v>
      </c>
      <c r="L41" s="149">
        <f t="shared" si="1"/>
        <v>2803.989999999998</v>
      </c>
      <c r="M41" s="203">
        <f t="shared" si="9"/>
        <v>1.0762237986553682</v>
      </c>
      <c r="N41" s="149">
        <f>N42+N43+N44+N45+N46+N48+N50+N51+N52+N53+N54+N59+N60+N64+N47+N49</f>
        <v>5277.6</v>
      </c>
      <c r="O41" s="149">
        <f>O42+O43+O44+O45+O46+O48+O50+O51+O52+O53+O54+O59+O60+O64+O47+O49</f>
        <v>5531.810000000002</v>
      </c>
      <c r="P41" s="149">
        <f>P42+P43+P44+P45+P46+P48+P50+P51+P52+P53+P54+P59+P60+P64</f>
        <v>245.12000000000148</v>
      </c>
      <c r="Q41" s="149">
        <f>O41/N41*100</f>
        <v>104.81677277550405</v>
      </c>
      <c r="R41" s="15">
        <f>R42+R43+R44+R45+R46+R47+R48+R50+R51+R52+R53+R54+R59+R60+R64</f>
        <v>5598.5</v>
      </c>
      <c r="S41" s="15">
        <f>O41-R41</f>
        <v>-66.68999999999778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241.39</v>
      </c>
      <c r="L42" s="163">
        <f t="shared" si="1"/>
        <v>1963.38</v>
      </c>
      <c r="M42" s="216">
        <f t="shared" si="9"/>
        <v>9.133642652968225</v>
      </c>
      <c r="N42" s="162">
        <f>E42-червень!E42</f>
        <v>0</v>
      </c>
      <c r="O42" s="166">
        <f>F42-червень!F42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108.3</v>
      </c>
      <c r="G44" s="160">
        <f t="shared" si="12"/>
        <v>85.3</v>
      </c>
      <c r="H44" s="162">
        <f>F44/E44*100</f>
        <v>470.86956521739125</v>
      </c>
      <c r="I44" s="163">
        <f t="shared" si="13"/>
        <v>68.3</v>
      </c>
      <c r="J44" s="163">
        <f aca="true" t="shared" si="16" ref="J44:J65">F44/D44*100</f>
        <v>270.75</v>
      </c>
      <c r="K44" s="163">
        <v>28.07</v>
      </c>
      <c r="L44" s="163">
        <f t="shared" si="1"/>
        <v>80.22999999999999</v>
      </c>
      <c r="M44" s="216">
        <f aca="true" t="shared" si="17" ref="M44:M66">F44/K44</f>
        <v>3.8582116138225864</v>
      </c>
      <c r="N44" s="162">
        <f>E44-червень!E44</f>
        <v>1</v>
      </c>
      <c r="O44" s="166">
        <f>F44-червень!F44</f>
        <v>5.5</v>
      </c>
      <c r="P44" s="165">
        <f t="shared" si="14"/>
        <v>4.5</v>
      </c>
      <c r="Q44" s="163">
        <f t="shared" si="11"/>
        <v>550</v>
      </c>
      <c r="R44" s="36">
        <v>10</v>
      </c>
      <c r="S44" s="36">
        <f t="shared" si="15"/>
        <v>-4.5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10.79</v>
      </c>
      <c r="G45" s="160">
        <f t="shared" si="12"/>
        <v>10.79</v>
      </c>
      <c r="H45" s="162" t="e">
        <f>F45/E45*100</f>
        <v>#DIV/0!</v>
      </c>
      <c r="I45" s="163">
        <f t="shared" si="13"/>
        <v>10.79</v>
      </c>
      <c r="J45" s="163" t="e">
        <f t="shared" si="16"/>
        <v>#DIV/0!</v>
      </c>
      <c r="K45" s="163">
        <v>0.1</v>
      </c>
      <c r="L45" s="163">
        <f t="shared" si="1"/>
        <v>10.69</v>
      </c>
      <c r="M45" s="216">
        <f t="shared" si="17"/>
        <v>107.89999999999999</v>
      </c>
      <c r="N45" s="162">
        <f>E45-червень!E45</f>
        <v>0</v>
      </c>
      <c r="O45" s="166">
        <f>F45-червень!F45</f>
        <v>8.76</v>
      </c>
      <c r="P45" s="165">
        <f t="shared" si="14"/>
        <v>8.76</v>
      </c>
      <c r="Q45" s="163" t="e">
        <f t="shared" si="11"/>
        <v>#DIV/0!</v>
      </c>
      <c r="R45" s="36">
        <v>0</v>
      </c>
      <c r="S45" s="36">
        <f t="shared" si="15"/>
        <v>8.76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541.7</v>
      </c>
      <c r="G46" s="160">
        <f t="shared" si="12"/>
        <v>391.70000000000005</v>
      </c>
      <c r="H46" s="162">
        <f t="shared" si="10"/>
        <v>361.1333333333333</v>
      </c>
      <c r="I46" s="163">
        <f t="shared" si="13"/>
        <v>281.70000000000005</v>
      </c>
      <c r="J46" s="163">
        <f t="shared" si="16"/>
        <v>208.34615384615387</v>
      </c>
      <c r="K46" s="163">
        <v>187.96</v>
      </c>
      <c r="L46" s="163">
        <f t="shared" si="1"/>
        <v>353.74</v>
      </c>
      <c r="M46" s="216">
        <f t="shared" si="17"/>
        <v>2.8819961693977443</v>
      </c>
      <c r="N46" s="162">
        <f>E46-червень!E46</f>
        <v>22</v>
      </c>
      <c r="O46" s="166">
        <f>F46-червень!F46</f>
        <v>40.17000000000007</v>
      </c>
      <c r="P46" s="165">
        <f t="shared" si="14"/>
        <v>18.170000000000073</v>
      </c>
      <c r="Q46" s="163">
        <f t="shared" si="11"/>
        <v>182.59090909090943</v>
      </c>
      <c r="R46" s="36">
        <v>70</v>
      </c>
      <c r="S46" s="36">
        <f t="shared" si="15"/>
        <v>-29.829999999999927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71.01</v>
      </c>
      <c r="G47" s="160">
        <f t="shared" si="12"/>
        <v>9.810000000000002</v>
      </c>
      <c r="H47" s="162">
        <f t="shared" si="10"/>
        <v>116.0294117647059</v>
      </c>
      <c r="I47" s="163">
        <f t="shared" si="13"/>
        <v>-26.489999999999995</v>
      </c>
      <c r="J47" s="163">
        <f t="shared" si="16"/>
        <v>72.83076923076923</v>
      </c>
      <c r="K47" s="163">
        <v>27.48</v>
      </c>
      <c r="L47" s="163">
        <f t="shared" si="1"/>
        <v>43.53</v>
      </c>
      <c r="M47" s="216"/>
      <c r="N47" s="162">
        <f>E47-червень!E47</f>
        <v>13.600000000000001</v>
      </c>
      <c r="O47" s="166">
        <f>F47-червень!F47</f>
        <v>0</v>
      </c>
      <c r="P47" s="165">
        <f t="shared" si="14"/>
        <v>-13.600000000000001</v>
      </c>
      <c r="Q47" s="163">
        <f t="shared" si="11"/>
        <v>0</v>
      </c>
      <c r="R47" s="36">
        <v>0</v>
      </c>
      <c r="S47" s="36">
        <f t="shared" si="15"/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699.45</v>
      </c>
      <c r="G48" s="160">
        <f t="shared" si="12"/>
        <v>179.45000000000005</v>
      </c>
      <c r="H48" s="162">
        <f t="shared" si="10"/>
        <v>134.5096153846154</v>
      </c>
      <c r="I48" s="163">
        <f t="shared" si="13"/>
        <v>-30.549999999999955</v>
      </c>
      <c r="J48" s="163">
        <f t="shared" si="16"/>
        <v>95.81506849315069</v>
      </c>
      <c r="K48" s="163">
        <v>248.37</v>
      </c>
      <c r="L48" s="163">
        <f t="shared" si="1"/>
        <v>451.08000000000004</v>
      </c>
      <c r="M48" s="216"/>
      <c r="N48" s="162">
        <f>E48-червень!E48</f>
        <v>60</v>
      </c>
      <c r="O48" s="166">
        <f>F48-червень!F48</f>
        <v>70.53000000000009</v>
      </c>
      <c r="P48" s="165">
        <f t="shared" si="14"/>
        <v>10.530000000000086</v>
      </c>
      <c r="Q48" s="163">
        <f t="shared" si="11"/>
        <v>117.55000000000015</v>
      </c>
      <c r="R48" s="36">
        <v>100</v>
      </c>
      <c r="S48" s="36">
        <f t="shared" si="15"/>
        <v>-29.469999999999914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10171.29</v>
      </c>
      <c r="G50" s="160">
        <f t="shared" si="12"/>
        <v>3131.290000000001</v>
      </c>
      <c r="H50" s="162">
        <f t="shared" si="10"/>
        <v>144.47855113636365</v>
      </c>
      <c r="I50" s="163">
        <f t="shared" si="13"/>
        <v>-828.7099999999991</v>
      </c>
      <c r="J50" s="163">
        <f t="shared" si="16"/>
        <v>92.46627272727274</v>
      </c>
      <c r="K50" s="163">
        <v>6090.63</v>
      </c>
      <c r="L50" s="163">
        <f t="shared" si="1"/>
        <v>4080.6600000000008</v>
      </c>
      <c r="M50" s="216">
        <f t="shared" si="17"/>
        <v>1.6699898040104226</v>
      </c>
      <c r="N50" s="162">
        <f>E50-червень!E50</f>
        <v>1000</v>
      </c>
      <c r="O50" s="166">
        <f>F50-червень!F50</f>
        <v>1806.9800000000014</v>
      </c>
      <c r="P50" s="165">
        <f t="shared" si="14"/>
        <v>806.9800000000014</v>
      </c>
      <c r="Q50" s="163">
        <f t="shared" si="11"/>
        <v>180.69800000000015</v>
      </c>
      <c r="R50" s="36">
        <v>1400</v>
      </c>
      <c r="S50" s="36">
        <f t="shared" si="15"/>
        <v>406.9800000000014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295.33</v>
      </c>
      <c r="G51" s="160">
        <f t="shared" si="12"/>
        <v>120.32999999999998</v>
      </c>
      <c r="H51" s="162">
        <f t="shared" si="10"/>
        <v>168.76</v>
      </c>
      <c r="I51" s="163">
        <f t="shared" si="13"/>
        <v>-14.670000000000016</v>
      </c>
      <c r="J51" s="163">
        <f t="shared" si="16"/>
        <v>95.26774193548387</v>
      </c>
      <c r="K51" s="163">
        <v>117.39</v>
      </c>
      <c r="L51" s="163">
        <f t="shared" si="1"/>
        <v>177.94</v>
      </c>
      <c r="M51" s="216"/>
      <c r="N51" s="162">
        <f>E51-червень!E51</f>
        <v>25</v>
      </c>
      <c r="O51" s="166">
        <f>F51-червень!F51</f>
        <v>32.51999999999998</v>
      </c>
      <c r="P51" s="165">
        <f t="shared" si="14"/>
        <v>7.519999999999982</v>
      </c>
      <c r="Q51" s="163">
        <f t="shared" si="11"/>
        <v>130.07999999999993</v>
      </c>
      <c r="R51" s="36">
        <v>40</v>
      </c>
      <c r="S51" s="36">
        <f t="shared" si="15"/>
        <v>-7.480000000000018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3786.14</v>
      </c>
      <c r="G53" s="160">
        <f t="shared" si="12"/>
        <v>-463.8600000000001</v>
      </c>
      <c r="H53" s="162">
        <f t="shared" si="10"/>
        <v>89.08564705882353</v>
      </c>
      <c r="I53" s="163">
        <f t="shared" si="13"/>
        <v>-3488.86</v>
      </c>
      <c r="J53" s="163">
        <f t="shared" si="16"/>
        <v>52.04316151202749</v>
      </c>
      <c r="K53" s="163">
        <v>4498</v>
      </c>
      <c r="L53" s="163">
        <f t="shared" si="1"/>
        <v>-711.8600000000001</v>
      </c>
      <c r="M53" s="216">
        <f t="shared" si="17"/>
        <v>0.8417385504668742</v>
      </c>
      <c r="N53" s="162">
        <f>E53-червень!E53</f>
        <v>605</v>
      </c>
      <c r="O53" s="166">
        <f>F53-червень!F53</f>
        <v>518.79</v>
      </c>
      <c r="P53" s="165">
        <f t="shared" si="14"/>
        <v>-86.21000000000004</v>
      </c>
      <c r="Q53" s="163">
        <f t="shared" si="11"/>
        <v>85.75041322314048</v>
      </c>
      <c r="R53" s="36">
        <v>550</v>
      </c>
      <c r="S53" s="36">
        <f t="shared" si="15"/>
        <v>-31.210000000000036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457.59</v>
      </c>
      <c r="G54" s="160">
        <f t="shared" si="12"/>
        <v>-232.41000000000003</v>
      </c>
      <c r="H54" s="162">
        <f t="shared" si="10"/>
        <v>66.31739130434782</v>
      </c>
      <c r="I54" s="163">
        <f t="shared" si="13"/>
        <v>-742.4100000000001</v>
      </c>
      <c r="J54" s="163">
        <f t="shared" si="16"/>
        <v>38.1325</v>
      </c>
      <c r="K54" s="163">
        <v>3724.79</v>
      </c>
      <c r="L54" s="163">
        <f t="shared" si="1"/>
        <v>-3267.2</v>
      </c>
      <c r="M54" s="216">
        <f t="shared" si="17"/>
        <v>0.1228498787851127</v>
      </c>
      <c r="N54" s="162">
        <f>E54-червень!E54</f>
        <v>120</v>
      </c>
      <c r="O54" s="166">
        <f>F54-червень!F54</f>
        <v>69.16999999999996</v>
      </c>
      <c r="P54" s="165">
        <f t="shared" si="14"/>
        <v>-50.83000000000004</v>
      </c>
      <c r="Q54" s="163">
        <f t="shared" si="11"/>
        <v>57.64166666666664</v>
      </c>
      <c r="R54" s="36">
        <v>50</v>
      </c>
      <c r="S54" s="36">
        <f t="shared" si="15"/>
        <v>19.16999999999996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390.6</v>
      </c>
      <c r="G55" s="33">
        <f t="shared" si="12"/>
        <v>-189.39999999999998</v>
      </c>
      <c r="H55" s="29">
        <f t="shared" si="10"/>
        <v>67.3448275862069</v>
      </c>
      <c r="I55" s="103">
        <f t="shared" si="13"/>
        <v>-607.4</v>
      </c>
      <c r="J55" s="103">
        <f t="shared" si="16"/>
        <v>39.138276553106216</v>
      </c>
      <c r="K55" s="103">
        <v>504.14</v>
      </c>
      <c r="L55" s="103">
        <f>F55-K55</f>
        <v>-113.53999999999996</v>
      </c>
      <c r="M55" s="108">
        <f t="shared" si="17"/>
        <v>0.7747847820049987</v>
      </c>
      <c r="N55" s="104">
        <f>E55-червень!E55</f>
        <v>100</v>
      </c>
      <c r="O55" s="142">
        <f>F55-червень!F55</f>
        <v>58.07000000000005</v>
      </c>
      <c r="P55" s="105">
        <f t="shared" si="14"/>
        <v>-41.92999999999995</v>
      </c>
      <c r="Q55" s="118">
        <f t="shared" si="11"/>
        <v>58.07000000000006</v>
      </c>
      <c r="R55" s="36"/>
      <c r="S55" s="36">
        <f t="shared" si="15"/>
        <v>58.07000000000005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66.83</v>
      </c>
      <c r="G58" s="33">
        <f t="shared" si="12"/>
        <v>-43.17</v>
      </c>
      <c r="H58" s="29">
        <f t="shared" si="10"/>
        <v>60.75454545454545</v>
      </c>
      <c r="I58" s="103">
        <f t="shared" si="13"/>
        <v>-133.17000000000002</v>
      </c>
      <c r="J58" s="103">
        <f t="shared" si="16"/>
        <v>33.415</v>
      </c>
      <c r="K58" s="103">
        <v>3220.38</v>
      </c>
      <c r="L58" s="103">
        <f>F58-K58</f>
        <v>-3153.55</v>
      </c>
      <c r="M58" s="108">
        <f t="shared" si="17"/>
        <v>0.020752209366596486</v>
      </c>
      <c r="N58" s="104">
        <f>E58-червень!E58</f>
        <v>20</v>
      </c>
      <c r="O58" s="142">
        <f>F58-червень!F58</f>
        <v>11.089999999999996</v>
      </c>
      <c r="P58" s="105">
        <f t="shared" si="14"/>
        <v>-8.910000000000004</v>
      </c>
      <c r="Q58" s="118">
        <f t="shared" si="11"/>
        <v>55.449999999999974</v>
      </c>
      <c r="R58" s="36"/>
      <c r="S58" s="36">
        <f t="shared" si="15"/>
        <v>11.089999999999996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5239.79</v>
      </c>
      <c r="G60" s="160">
        <f t="shared" si="12"/>
        <v>-220.21000000000004</v>
      </c>
      <c r="H60" s="162">
        <f t="shared" si="10"/>
        <v>95.96684981684982</v>
      </c>
      <c r="I60" s="163">
        <f t="shared" si="13"/>
        <v>-2110.21</v>
      </c>
      <c r="J60" s="163">
        <f t="shared" si="16"/>
        <v>71.28965986394557</v>
      </c>
      <c r="K60" s="163">
        <v>4261.9</v>
      </c>
      <c r="L60" s="163">
        <f aca="true" t="shared" si="18" ref="L60:L66">F60-K60</f>
        <v>977.8900000000003</v>
      </c>
      <c r="M60" s="216">
        <f t="shared" si="17"/>
        <v>1.22944930664727</v>
      </c>
      <c r="N60" s="162">
        <f>E60-червень!E60</f>
        <v>600</v>
      </c>
      <c r="O60" s="166">
        <f>F60-червень!F60</f>
        <v>405.0100000000002</v>
      </c>
      <c r="P60" s="165">
        <f t="shared" si="14"/>
        <v>-194.98999999999978</v>
      </c>
      <c r="Q60" s="163">
        <f t="shared" si="11"/>
        <v>67.50166666666671</v>
      </c>
      <c r="R60" s="36">
        <v>500</v>
      </c>
      <c r="S60" s="36">
        <f t="shared" si="15"/>
        <v>-94.98999999999978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1215.09</v>
      </c>
      <c r="G62" s="160"/>
      <c r="H62" s="162"/>
      <c r="I62" s="163"/>
      <c r="J62" s="163"/>
      <c r="K62" s="164">
        <v>731.46</v>
      </c>
      <c r="L62" s="163">
        <f t="shared" si="18"/>
        <v>483.6299999999999</v>
      </c>
      <c r="M62" s="216">
        <f t="shared" si="17"/>
        <v>1.6611844803543596</v>
      </c>
      <c r="N62" s="193"/>
      <c r="O62" s="177">
        <f>F62-червень!F62</f>
        <v>145.37999999999988</v>
      </c>
      <c r="P62" s="164"/>
      <c r="Q62" s="163"/>
      <c r="R62" s="36"/>
      <c r="S62" s="36">
        <f t="shared" si="15"/>
        <v>145.37999999999988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60.14</v>
      </c>
      <c r="G64" s="160">
        <f t="shared" si="12"/>
        <v>10.14</v>
      </c>
      <c r="H64" s="162">
        <f t="shared" si="10"/>
        <v>120.28000000000002</v>
      </c>
      <c r="I64" s="163">
        <f t="shared" si="13"/>
        <v>-99.86</v>
      </c>
      <c r="J64" s="163">
        <f t="shared" si="16"/>
        <v>37.5875</v>
      </c>
      <c r="K64" s="163">
        <v>78.18</v>
      </c>
      <c r="L64" s="163">
        <f t="shared" si="18"/>
        <v>-18.040000000000006</v>
      </c>
      <c r="M64" s="216">
        <f t="shared" si="17"/>
        <v>0.7692504476848299</v>
      </c>
      <c r="N64" s="162">
        <f>E64-червень!E64</f>
        <v>30</v>
      </c>
      <c r="O64" s="166">
        <f>F64-червень!F64</f>
        <v>5.5</v>
      </c>
      <c r="P64" s="165">
        <f t="shared" si="14"/>
        <v>-24.5</v>
      </c>
      <c r="Q64" s="163"/>
      <c r="R64" s="36">
        <v>0</v>
      </c>
      <c r="S64" s="36">
        <f t="shared" si="15"/>
        <v>5.5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28.27</v>
      </c>
      <c r="G65" s="160">
        <f t="shared" si="12"/>
        <v>19.47</v>
      </c>
      <c r="H65" s="162">
        <f t="shared" si="10"/>
        <v>321.25</v>
      </c>
      <c r="I65" s="163">
        <f t="shared" si="13"/>
        <v>13.27</v>
      </c>
      <c r="J65" s="163">
        <f t="shared" si="16"/>
        <v>188.46666666666667</v>
      </c>
      <c r="K65" s="163">
        <v>13.52</v>
      </c>
      <c r="L65" s="163">
        <f t="shared" si="18"/>
        <v>14.75</v>
      </c>
      <c r="M65" s="216">
        <f t="shared" si="17"/>
        <v>2.0909763313609466</v>
      </c>
      <c r="N65" s="162">
        <f>E65-червень!E65</f>
        <v>1.200000000000001</v>
      </c>
      <c r="O65" s="166">
        <f>F65-червень!F65</f>
        <v>2.8900000000000006</v>
      </c>
      <c r="P65" s="165">
        <f t="shared" si="14"/>
        <v>1.6899999999999995</v>
      </c>
      <c r="Q65" s="163">
        <f t="shared" si="11"/>
        <v>240.8333333333332</v>
      </c>
      <c r="R65" s="36">
        <v>3.2</v>
      </c>
      <c r="S65" s="36">
        <f t="shared" si="15"/>
        <v>-0.3099999999999996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727729.12</v>
      </c>
      <c r="G67" s="149">
        <f>F67-E67</f>
        <v>-34813.57999999996</v>
      </c>
      <c r="H67" s="150">
        <f>F67/E67*100</f>
        <v>95.43454025590961</v>
      </c>
      <c r="I67" s="151">
        <f>F67-D67</f>
        <v>-629761.9800000001</v>
      </c>
      <c r="J67" s="151">
        <f>F67/D67*100</f>
        <v>53.60838977139518</v>
      </c>
      <c r="K67" s="151">
        <v>580607.78</v>
      </c>
      <c r="L67" s="151">
        <f>F67-K67</f>
        <v>147121.33999999997</v>
      </c>
      <c r="M67" s="217">
        <f>F67/K67</f>
        <v>1.253391954203576</v>
      </c>
      <c r="N67" s="149">
        <f>N8+N41+N65+N66</f>
        <v>123743.40000000004</v>
      </c>
      <c r="O67" s="149">
        <f>O8+O41+O65+O66</f>
        <v>84180.40999999996</v>
      </c>
      <c r="P67" s="153">
        <f>O67-N67</f>
        <v>-39562.99000000008</v>
      </c>
      <c r="Q67" s="151">
        <f>O67/N67*100</f>
        <v>68.02820190814212</v>
      </c>
      <c r="R67" s="26">
        <f>R8+R41+R65+R66</f>
        <v>108115.7</v>
      </c>
      <c r="S67" s="277">
        <f>O67-R67</f>
        <v>-23935.290000000037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3.76</v>
      </c>
      <c r="G76" s="160">
        <f t="shared" si="19"/>
        <v>-13496.24</v>
      </c>
      <c r="H76" s="162">
        <f>F76/E76*100</f>
        <v>0.02785185185185185</v>
      </c>
      <c r="I76" s="165">
        <f t="shared" si="20"/>
        <v>-104202.27</v>
      </c>
      <c r="J76" s="165">
        <f>F76/D76*100</f>
        <v>0.0036082364907289908</v>
      </c>
      <c r="K76" s="165">
        <v>1535.06</v>
      </c>
      <c r="L76" s="165">
        <f t="shared" si="21"/>
        <v>-1531.3</v>
      </c>
      <c r="M76" s="207">
        <f>F76/K76</f>
        <v>0.002449415658019882</v>
      </c>
      <c r="N76" s="162">
        <f>E76-червень!E76</f>
        <v>4500</v>
      </c>
      <c r="O76" s="166">
        <f>F76-червень!F76</f>
        <v>0.03999999999999959</v>
      </c>
      <c r="P76" s="165">
        <f t="shared" si="22"/>
        <v>-4499.96</v>
      </c>
      <c r="Q76" s="165">
        <f>O76/N76*100</f>
        <v>0.0008888888888888798</v>
      </c>
      <c r="R76" s="37">
        <v>0</v>
      </c>
      <c r="S76" s="37">
        <f aca="true" t="shared" si="23" ref="S76:S87">O76-R76</f>
        <v>0.03999999999999959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5894.96</v>
      </c>
      <c r="G77" s="160">
        <f t="shared" si="19"/>
        <v>-13335.04</v>
      </c>
      <c r="H77" s="162">
        <f>F77/E77*100</f>
        <v>30.65501820072803</v>
      </c>
      <c r="I77" s="165">
        <f t="shared" si="20"/>
        <v>-48105.04</v>
      </c>
      <c r="J77" s="165">
        <f>F77/D77*100</f>
        <v>10.916592592592593</v>
      </c>
      <c r="K77" s="165">
        <v>6751.5</v>
      </c>
      <c r="L77" s="165">
        <f t="shared" si="21"/>
        <v>-856.54</v>
      </c>
      <c r="M77" s="207">
        <f>F77/K77</f>
        <v>0.8731333777679035</v>
      </c>
      <c r="N77" s="162">
        <f>E77-червень!E77</f>
        <v>3600</v>
      </c>
      <c r="O77" s="166">
        <f>F77-червень!F77</f>
        <v>4277.8099999999995</v>
      </c>
      <c r="P77" s="165">
        <f t="shared" si="22"/>
        <v>677.8099999999995</v>
      </c>
      <c r="Q77" s="165">
        <f>O77/N77*100</f>
        <v>118.82805555555554</v>
      </c>
      <c r="R77" s="37">
        <v>200</v>
      </c>
      <c r="S77" s="37">
        <f t="shared" si="23"/>
        <v>4077.8099999999995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6900.8</v>
      </c>
      <c r="G78" s="160">
        <f t="shared" si="19"/>
        <v>-13149.2</v>
      </c>
      <c r="H78" s="162">
        <f>F78/E78*100</f>
        <v>34.41795511221945</v>
      </c>
      <c r="I78" s="165">
        <f t="shared" si="20"/>
        <v>-72099.2</v>
      </c>
      <c r="J78" s="165">
        <f>F78/D78*100</f>
        <v>8.735189873417722</v>
      </c>
      <c r="K78" s="165">
        <v>9509.69</v>
      </c>
      <c r="L78" s="165">
        <f t="shared" si="21"/>
        <v>-2608.8900000000003</v>
      </c>
      <c r="M78" s="207">
        <f>F78/K78</f>
        <v>0.725659826976484</v>
      </c>
      <c r="N78" s="162">
        <f>E78-червень!E78</f>
        <v>3850</v>
      </c>
      <c r="O78" s="166">
        <f>F78-червень!F78</f>
        <v>332.5799999999999</v>
      </c>
      <c r="P78" s="165">
        <f t="shared" si="22"/>
        <v>-3517.42</v>
      </c>
      <c r="Q78" s="165">
        <f>O78/N78*100</f>
        <v>8.638441558441556</v>
      </c>
      <c r="R78" s="37">
        <v>1500</v>
      </c>
      <c r="S78" s="37">
        <f t="shared" si="23"/>
        <v>-1167.42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12807.52</v>
      </c>
      <c r="G80" s="183">
        <f t="shared" si="19"/>
        <v>-39979.479999999996</v>
      </c>
      <c r="H80" s="184">
        <f>F80/E80*100</f>
        <v>24.26264042283138</v>
      </c>
      <c r="I80" s="185">
        <f t="shared" si="20"/>
        <v>-224410.51</v>
      </c>
      <c r="J80" s="185">
        <f>F80/D80*100</f>
        <v>5.39904997946404</v>
      </c>
      <c r="K80" s="185">
        <v>17802.25</v>
      </c>
      <c r="L80" s="185">
        <f t="shared" si="21"/>
        <v>-4994.73</v>
      </c>
      <c r="M80" s="212">
        <f>F80/K80</f>
        <v>0.7194326559844963</v>
      </c>
      <c r="N80" s="183">
        <f>N76+N77+N78+N79</f>
        <v>11951</v>
      </c>
      <c r="O80" s="187">
        <f>O76+O77+O78+O79</f>
        <v>4611.429999999999</v>
      </c>
      <c r="P80" s="185">
        <f t="shared" si="22"/>
        <v>-7339.570000000001</v>
      </c>
      <c r="Q80" s="185">
        <f>O80/N80*100</f>
        <v>38.58614341896075</v>
      </c>
      <c r="R80" s="38">
        <f>SUM(R76:R79)</f>
        <v>1701</v>
      </c>
      <c r="S80" s="38">
        <f t="shared" si="23"/>
        <v>2910.4299999999994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19"/>
        <v>34.14</v>
      </c>
      <c r="H81" s="162"/>
      <c r="I81" s="165">
        <f t="shared" si="20"/>
        <v>-1.8599999999999994</v>
      </c>
      <c r="J81" s="165"/>
      <c r="K81" s="165">
        <v>5.21</v>
      </c>
      <c r="L81" s="165">
        <f t="shared" si="21"/>
        <v>32.93</v>
      </c>
      <c r="M81" s="207">
        <f>F81/K81</f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2"/>
        <v>2.8299999999999983</v>
      </c>
      <c r="Q81" s="165"/>
      <c r="R81" s="37">
        <v>1</v>
      </c>
      <c r="S81" s="37">
        <f t="shared" si="23"/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5108.58</v>
      </c>
      <c r="G83" s="160">
        <f t="shared" si="19"/>
        <v>597.7799999999997</v>
      </c>
      <c r="H83" s="162">
        <f>F83/E83*100</f>
        <v>113.25219473264166</v>
      </c>
      <c r="I83" s="165">
        <f t="shared" si="20"/>
        <v>-3251.42</v>
      </c>
      <c r="J83" s="165">
        <f>F83/D83*100</f>
        <v>61.10741626794258</v>
      </c>
      <c r="K83" s="165">
        <v>4902.34</v>
      </c>
      <c r="L83" s="165">
        <f t="shared" si="21"/>
        <v>206.23999999999978</v>
      </c>
      <c r="M83" s="207"/>
      <c r="N83" s="162">
        <f>E83-червень!E83</f>
        <v>3.800000000000182</v>
      </c>
      <c r="O83" s="166">
        <f>F83-червень!F83</f>
        <v>4.569999999999709</v>
      </c>
      <c r="P83" s="165">
        <f>O83-N83</f>
        <v>0.7699999999995271</v>
      </c>
      <c r="Q83" s="188">
        <f>O83/N83*100</f>
        <v>120.26315789472342</v>
      </c>
      <c r="R83" s="40">
        <v>2850</v>
      </c>
      <c r="S83" s="285">
        <f t="shared" si="23"/>
        <v>-2845.4300000000003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5146.7699999999995</v>
      </c>
      <c r="G85" s="181">
        <f>G81+G84+G82+G83</f>
        <v>631.9699999999998</v>
      </c>
      <c r="H85" s="184">
        <f>F85/E85*100</f>
        <v>113.99774076371045</v>
      </c>
      <c r="I85" s="185">
        <f t="shared" si="20"/>
        <v>-3253.2300000000005</v>
      </c>
      <c r="J85" s="185">
        <f>F85/D85*100</f>
        <v>61.271071428571425</v>
      </c>
      <c r="K85" s="185">
        <v>4908.48</v>
      </c>
      <c r="L85" s="185">
        <f t="shared" si="21"/>
        <v>238.28999999999996</v>
      </c>
      <c r="M85" s="218">
        <f t="shared" si="24"/>
        <v>1.0485465969098378</v>
      </c>
      <c r="N85" s="183">
        <f>N81+N84+N82+N83</f>
        <v>3.800000000000182</v>
      </c>
      <c r="O85" s="187">
        <f>O81+O84+O82+O83</f>
        <v>7.399999999999707</v>
      </c>
      <c r="P85" s="183">
        <f>P81+P84+P82+P83</f>
        <v>3.5999999999995254</v>
      </c>
      <c r="Q85" s="185">
        <f>O85/N85*100</f>
        <v>194.73684210524613</v>
      </c>
      <c r="R85" s="38">
        <f>SUM(R81:R84)</f>
        <v>2851</v>
      </c>
      <c r="S85" s="38">
        <f t="shared" si="23"/>
        <v>-2843.6000000000004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12.43</v>
      </c>
      <c r="G86" s="160">
        <f t="shared" si="19"/>
        <v>-12.370000000000001</v>
      </c>
      <c r="H86" s="162">
        <f>F86/E86*100</f>
        <v>50.12096774193549</v>
      </c>
      <c r="I86" s="165">
        <f t="shared" si="20"/>
        <v>-25.57</v>
      </c>
      <c r="J86" s="165">
        <f>F86/D86*100</f>
        <v>32.71052631578947</v>
      </c>
      <c r="K86" s="165">
        <v>18.76</v>
      </c>
      <c r="L86" s="165">
        <f t="shared" si="21"/>
        <v>-6.330000000000002</v>
      </c>
      <c r="M86" s="207">
        <f t="shared" si="24"/>
        <v>0.6625799573560767</v>
      </c>
      <c r="N86" s="162">
        <f>E86-червень!E86</f>
        <v>1.5</v>
      </c>
      <c r="O86" s="166">
        <f>F86-червень!F86</f>
        <v>4.6899999999999995</v>
      </c>
      <c r="P86" s="165">
        <f t="shared" si="22"/>
        <v>3.1899999999999995</v>
      </c>
      <c r="Q86" s="165">
        <f>O86/N86</f>
        <v>3.1266666666666665</v>
      </c>
      <c r="R86" s="37">
        <v>1.2</v>
      </c>
      <c r="S86" s="37">
        <f t="shared" si="23"/>
        <v>3.4899999999999993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17999.66</v>
      </c>
      <c r="G88" s="190">
        <f>F88-E88</f>
        <v>-39326.94</v>
      </c>
      <c r="H88" s="191">
        <f>F88/E88*100</f>
        <v>31.398443305550998</v>
      </c>
      <c r="I88" s="192">
        <f>F88-D88</f>
        <v>-227656.37</v>
      </c>
      <c r="J88" s="192">
        <f>F88/D88*100</f>
        <v>7.327180203962428</v>
      </c>
      <c r="K88" s="192">
        <v>22727.2</v>
      </c>
      <c r="L88" s="192">
        <f>F88-K88</f>
        <v>-4727.540000000001</v>
      </c>
      <c r="M88" s="219">
        <f t="shared" si="24"/>
        <v>0.7919875743602379</v>
      </c>
      <c r="N88" s="189">
        <f>N74+N75+N80+N85+N86</f>
        <v>11956.3</v>
      </c>
      <c r="O88" s="189">
        <f>O74+O75+O80+O85+O86</f>
        <v>4623.519999999999</v>
      </c>
      <c r="P88" s="192">
        <f t="shared" si="22"/>
        <v>-7332.780000000001</v>
      </c>
      <c r="Q88" s="192">
        <f>O88/N88*100</f>
        <v>38.67015715564179</v>
      </c>
      <c r="R88" s="26">
        <f>R80+R85+R86+R87</f>
        <v>4553.2</v>
      </c>
      <c r="S88" s="26">
        <f>S80+S85+S86+S87</f>
        <v>70.31999999999901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745728.78</v>
      </c>
      <c r="G89" s="190">
        <f>F89-E89</f>
        <v>-74140.5199999999</v>
      </c>
      <c r="H89" s="191">
        <f>F89/E89*100</f>
        <v>90.95703180982628</v>
      </c>
      <c r="I89" s="192">
        <f>F89-D89</f>
        <v>-857418.3500000001</v>
      </c>
      <c r="J89" s="192">
        <f>F89/D89*100</f>
        <v>46.51655272588736</v>
      </c>
      <c r="K89" s="192">
        <f>K67+K88</f>
        <v>603334.98</v>
      </c>
      <c r="L89" s="192">
        <f>F89-K89</f>
        <v>142393.80000000005</v>
      </c>
      <c r="M89" s="219">
        <f t="shared" si="24"/>
        <v>1.2360111790634118</v>
      </c>
      <c r="N89" s="190">
        <f>N67+N88</f>
        <v>135699.70000000004</v>
      </c>
      <c r="O89" s="190">
        <f>O67+O88</f>
        <v>88803.92999999996</v>
      </c>
      <c r="P89" s="192">
        <f t="shared" si="22"/>
        <v>-46895.77000000008</v>
      </c>
      <c r="Q89" s="192">
        <f>O89/N89*100</f>
        <v>65.44150797680462</v>
      </c>
      <c r="R89" s="26">
        <f>R67+R88</f>
        <v>112668.9</v>
      </c>
      <c r="S89" s="26">
        <f>S67+S88</f>
        <v>-23864.970000000038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5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7912.598000000015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42940</v>
      </c>
      <c r="D93" s="28">
        <v>4670.8</v>
      </c>
      <c r="G93" s="4" t="s">
        <v>58</v>
      </c>
      <c r="O93" s="321"/>
      <c r="P93" s="321"/>
    </row>
    <row r="94" spans="3:16" ht="15">
      <c r="C94" s="80">
        <v>42937</v>
      </c>
      <c r="D94" s="28">
        <v>7013.3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42936</v>
      </c>
      <c r="D95" s="28">
        <v>6411.4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4067.9518599999997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1020.6999999999999</v>
      </c>
      <c r="G100" s="67">
        <f>G48+G51+G52</f>
        <v>313.70000000000005</v>
      </c>
      <c r="H100" s="68"/>
      <c r="I100" s="68"/>
      <c r="N100" s="28">
        <f>N48+N51+N52</f>
        <v>86</v>
      </c>
      <c r="O100" s="200">
        <f>O48+O51+O52</f>
        <v>110.25000000000007</v>
      </c>
      <c r="P100" s="28">
        <f>P48+P51+P52</f>
        <v>24.25000000000007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690361.2100000001</v>
      </c>
      <c r="G102" s="28">
        <f>F102-E102</f>
        <v>-37250.28999999992</v>
      </c>
      <c r="H102" s="228">
        <f>F102/E102</f>
        <v>0.9488046986613049</v>
      </c>
      <c r="I102" s="28">
        <f>F102-D102</f>
        <v>-608687.39</v>
      </c>
      <c r="J102" s="228">
        <f>F102/D102</f>
        <v>0.5314360140182592</v>
      </c>
      <c r="N102" s="28">
        <f>N9+N15+N17+N18+N19+N23+N42+N45+N65+N59</f>
        <v>118465.80000000003</v>
      </c>
      <c r="O102" s="227">
        <f>O9+O15+O17+O18+O19+O23+O42+O45+O65+O59</f>
        <v>78657.35999999996</v>
      </c>
      <c r="P102" s="28">
        <f>O102-N102</f>
        <v>-39808.440000000075</v>
      </c>
      <c r="Q102" s="228">
        <f>O102/N102</f>
        <v>0.6639668157392254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37344.04</v>
      </c>
      <c r="G103" s="28">
        <f>G43+G44+G46+G48+G50+G51+G52+G53+G54+G60+G64+G47</f>
        <v>2418.0899999999997</v>
      </c>
      <c r="H103" s="228">
        <f>F103/E103</f>
        <v>1.069074065591792</v>
      </c>
      <c r="I103" s="28">
        <f>I43+I44+I46+I48+I50+I51+I52+I53+I54+I60+I64+I47</f>
        <v>-21093.21</v>
      </c>
      <c r="J103" s="228">
        <f>F103/D103</f>
        <v>0.6389877229755743</v>
      </c>
      <c r="K103" s="28">
        <f aca="true" t="shared" si="25" ref="K103:P103">K43+K44+K46+K48+K50+K51+K52+K53+K54+K60+K64+K47</f>
        <v>36542.33</v>
      </c>
      <c r="L103" s="28">
        <f t="shared" si="25"/>
        <v>806.9600000000003</v>
      </c>
      <c r="M103" s="28">
        <f t="shared" si="25"/>
        <v>11.373485770814838</v>
      </c>
      <c r="N103" s="28">
        <f>N43+N44+N46+N48+N50+N51+N52+N53+N54+N60+N64+N47+N66</f>
        <v>5277.6</v>
      </c>
      <c r="O103" s="227">
        <f>O43+O44+O46+O48+O50+O51+O52+O53+O54+O60+O64+O47+O66</f>
        <v>5500.360000000002</v>
      </c>
      <c r="P103" s="28">
        <f t="shared" si="25"/>
        <v>222.7600000000015</v>
      </c>
      <c r="Q103" s="228">
        <f>O103/N103</f>
        <v>1.0422085796574205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727705.2500000001</v>
      </c>
      <c r="G104" s="28">
        <f t="shared" si="26"/>
        <v>-34832.199999999924</v>
      </c>
      <c r="H104" s="228">
        <f>F104/E104</f>
        <v>0.9543140993940407</v>
      </c>
      <c r="I104" s="28">
        <f t="shared" si="26"/>
        <v>-629780.6</v>
      </c>
      <c r="J104" s="228">
        <f>F104/D104</f>
        <v>0.5360663138049303</v>
      </c>
      <c r="K104" s="28">
        <f t="shared" si="26"/>
        <v>36542.33</v>
      </c>
      <c r="L104" s="28">
        <f t="shared" si="26"/>
        <v>806.9600000000003</v>
      </c>
      <c r="M104" s="28">
        <f t="shared" si="26"/>
        <v>11.373485770814838</v>
      </c>
      <c r="N104" s="28">
        <f t="shared" si="26"/>
        <v>123743.40000000004</v>
      </c>
      <c r="O104" s="227">
        <f t="shared" si="26"/>
        <v>84157.71999999996</v>
      </c>
      <c r="P104" s="28">
        <f t="shared" si="26"/>
        <v>-39585.68000000007</v>
      </c>
      <c r="Q104" s="228">
        <f>O104/N104</f>
        <v>0.6800986557666908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23.869999999878928</v>
      </c>
      <c r="G105" s="28">
        <f t="shared" si="27"/>
        <v>18.61999999996624</v>
      </c>
      <c r="H105" s="228"/>
      <c r="I105" s="28">
        <f t="shared" si="27"/>
        <v>18.619999999878928</v>
      </c>
      <c r="J105" s="228"/>
      <c r="K105" s="28">
        <f t="shared" si="27"/>
        <v>544065.4500000001</v>
      </c>
      <c r="L105" s="28">
        <f t="shared" si="27"/>
        <v>146314.37999999998</v>
      </c>
      <c r="M105" s="28">
        <f t="shared" si="27"/>
        <v>-10.120093816611263</v>
      </c>
      <c r="N105" s="28">
        <f t="shared" si="27"/>
        <v>0</v>
      </c>
      <c r="O105" s="28">
        <f t="shared" si="27"/>
        <v>22.69000000000233</v>
      </c>
      <c r="P105" s="28">
        <f t="shared" si="27"/>
        <v>22.689999999995052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38253.979999999996</v>
      </c>
      <c r="G111" s="190">
        <f>F111-E111</f>
        <v>-37174.68000000001</v>
      </c>
      <c r="H111" s="191">
        <f>F111/E111*100</f>
        <v>50.7154442356526</v>
      </c>
      <c r="I111" s="192">
        <f>F111-D111</f>
        <v>-279810.27</v>
      </c>
      <c r="J111" s="192">
        <f>F111/D111*100</f>
        <v>12.027123450686455</v>
      </c>
      <c r="K111" s="192">
        <v>3039.87</v>
      </c>
      <c r="L111" s="192">
        <f>F111-K111</f>
        <v>35214.10999999999</v>
      </c>
      <c r="M111" s="266">
        <f>F111/K111</f>
        <v>12.584084187810662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765983.1</v>
      </c>
      <c r="G112" s="190">
        <f>F112-E112</f>
        <v>-71988.26000000001</v>
      </c>
      <c r="H112" s="191">
        <f>F112/E112*100</f>
        <v>91.40922190944568</v>
      </c>
      <c r="I112" s="192">
        <f>F112-D112</f>
        <v>-909572.2500000001</v>
      </c>
      <c r="J112" s="192">
        <f>F112/D112*100</f>
        <v>45.71517735895743</v>
      </c>
      <c r="K112" s="192">
        <f>K89+K111</f>
        <v>606374.85</v>
      </c>
      <c r="L112" s="192">
        <f>F112-K112</f>
        <v>159608.25</v>
      </c>
      <c r="M112" s="266">
        <f>F112/K112</f>
        <v>1.2632171337581035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1311812.18</v>
      </c>
      <c r="G124" s="275">
        <f t="shared" si="29"/>
        <v>-76814.78000000003</v>
      </c>
      <c r="H124" s="274">
        <f t="shared" si="31"/>
        <v>94.46829262194362</v>
      </c>
      <c r="I124" s="276">
        <f t="shared" si="30"/>
        <v>-1586611.86</v>
      </c>
      <c r="J124" s="276">
        <f t="shared" si="32"/>
        <v>45.259498330685936</v>
      </c>
      <c r="Q124" s="240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4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43" sqref="U4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9" width="11.00390625" style="4" hidden="1" customWidth="1"/>
    <col min="20" max="16384" width="9.125" style="4" customWidth="1"/>
  </cols>
  <sheetData>
    <row r="1" spans="1:19" s="1" customFormat="1" ht="26.25" customHeight="1">
      <c r="A1" s="292" t="s">
        <v>203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199</v>
      </c>
      <c r="O3" s="305" t="s">
        <v>200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196</v>
      </c>
      <c r="F4" s="308" t="s">
        <v>33</v>
      </c>
      <c r="G4" s="310" t="s">
        <v>197</v>
      </c>
      <c r="H4" s="303" t="s">
        <v>198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204</v>
      </c>
      <c r="P4" s="310" t="s">
        <v>49</v>
      </c>
      <c r="Q4" s="314" t="s">
        <v>48</v>
      </c>
      <c r="R4" s="90" t="s">
        <v>64</v>
      </c>
      <c r="S4" s="90"/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201</v>
      </c>
      <c r="L5" s="316"/>
      <c r="M5" s="317"/>
      <c r="N5" s="304"/>
      <c r="O5" s="313"/>
      <c r="P5" s="311"/>
      <c r="Q5" s="314"/>
      <c r="R5" s="318" t="s">
        <v>202</v>
      </c>
      <c r="S5" s="31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3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>
        <f t="shared" si="9"/>
        <v>0.9609832028503557</v>
      </c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5">
        <v>0</v>
      </c>
      <c r="D91" s="4" t="s">
        <v>35</v>
      </c>
      <c r="O91" s="77"/>
      <c r="S91" s="28"/>
    </row>
    <row r="92" spans="2:19" ht="30.75" hidden="1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</row>
    <row r="93" spans="2:16" ht="34.5" customHeight="1" hidden="1">
      <c r="B93" s="52" t="s">
        <v>55</v>
      </c>
      <c r="C93" s="80">
        <v>42916</v>
      </c>
      <c r="D93" s="28">
        <v>14988.4</v>
      </c>
      <c r="G93" s="4" t="s">
        <v>58</v>
      </c>
      <c r="O93" s="321"/>
      <c r="P93" s="321"/>
    </row>
    <row r="94" spans="3:16" ht="15" hidden="1">
      <c r="C94" s="80">
        <v>42913</v>
      </c>
      <c r="D94" s="28">
        <v>9872.9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 hidden="1">
      <c r="C95" s="80">
        <v>42912</v>
      </c>
      <c r="D95" s="28">
        <v>4876.1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 hidden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 hidden="1">
      <c r="B97" s="329" t="s">
        <v>56</v>
      </c>
      <c r="C97" s="330"/>
      <c r="D97" s="132">
        <v>225.52589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18.594603669297914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18.594603669297914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-17.29394293312792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  <row r="127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194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188</v>
      </c>
      <c r="O3" s="305" t="s">
        <v>189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185</v>
      </c>
      <c r="F4" s="308" t="s">
        <v>33</v>
      </c>
      <c r="G4" s="310" t="s">
        <v>186</v>
      </c>
      <c r="H4" s="303" t="s">
        <v>187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195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191</v>
      </c>
      <c r="L5" s="316"/>
      <c r="M5" s="317"/>
      <c r="N5" s="304"/>
      <c r="O5" s="313"/>
      <c r="P5" s="311"/>
      <c r="Q5" s="314"/>
      <c r="R5" s="318" t="s">
        <v>190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21"/>
      <c r="P93" s="321"/>
    </row>
    <row r="94" spans="3:16" ht="15">
      <c r="C94" s="80">
        <v>42885</v>
      </c>
      <c r="D94" s="28">
        <v>10664.9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42884</v>
      </c>
      <c r="D95" s="28">
        <v>6919.44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1135.71022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92" t="s">
        <v>183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5"/>
      <c r="T1" s="85"/>
      <c r="U1" s="86"/>
    </row>
    <row r="2" spans="2:21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178</v>
      </c>
      <c r="O3" s="305" t="s">
        <v>177</v>
      </c>
      <c r="P3" s="305"/>
      <c r="Q3" s="305"/>
      <c r="R3" s="305"/>
      <c r="S3" s="305"/>
      <c r="T3" s="305"/>
      <c r="U3" s="305"/>
    </row>
    <row r="4" spans="1:21" ht="22.5" customHeight="1">
      <c r="A4" s="294"/>
      <c r="B4" s="296"/>
      <c r="C4" s="297"/>
      <c r="D4" s="298"/>
      <c r="E4" s="306" t="s">
        <v>174</v>
      </c>
      <c r="F4" s="308" t="s">
        <v>33</v>
      </c>
      <c r="G4" s="310" t="s">
        <v>175</v>
      </c>
      <c r="H4" s="303" t="s">
        <v>176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184</v>
      </c>
      <c r="P4" s="310" t="s">
        <v>49</v>
      </c>
      <c r="Q4" s="31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179</v>
      </c>
      <c r="L5" s="316"/>
      <c r="M5" s="317"/>
      <c r="N5" s="304"/>
      <c r="O5" s="313"/>
      <c r="P5" s="311"/>
      <c r="Q5" s="314"/>
      <c r="R5" s="318" t="s">
        <v>180</v>
      </c>
      <c r="S5" s="31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21"/>
      <c r="P93" s="321"/>
    </row>
    <row r="94" spans="3:16" ht="15">
      <c r="C94" s="80">
        <v>42852</v>
      </c>
      <c r="D94" s="28">
        <v>13266.8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42851</v>
      </c>
      <c r="D95" s="28">
        <v>6064.2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102.57358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 hidden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292" t="s">
        <v>172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  <c r="T1" s="243"/>
      <c r="U1" s="246"/>
      <c r="V1" s="256"/>
      <c r="W1" s="256"/>
    </row>
    <row r="2" spans="2:23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150</v>
      </c>
      <c r="O3" s="305" t="s">
        <v>151</v>
      </c>
      <c r="P3" s="305"/>
      <c r="Q3" s="305"/>
      <c r="R3" s="305"/>
      <c r="S3" s="305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294"/>
      <c r="B4" s="296"/>
      <c r="C4" s="297"/>
      <c r="D4" s="298"/>
      <c r="E4" s="306" t="s">
        <v>140</v>
      </c>
      <c r="F4" s="308" t="s">
        <v>33</v>
      </c>
      <c r="G4" s="310" t="s">
        <v>149</v>
      </c>
      <c r="H4" s="303" t="s">
        <v>163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173</v>
      </c>
      <c r="P4" s="310" t="s">
        <v>49</v>
      </c>
      <c r="Q4" s="31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156</v>
      </c>
      <c r="L5" s="316"/>
      <c r="M5" s="317"/>
      <c r="N5" s="304"/>
      <c r="O5" s="313"/>
      <c r="P5" s="311"/>
      <c r="Q5" s="314"/>
      <c r="R5" s="315" t="s">
        <v>102</v>
      </c>
      <c r="S5" s="31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20"/>
      <c r="H92" s="320"/>
      <c r="I92" s="320"/>
      <c r="J92" s="32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21"/>
      <c r="P93" s="321"/>
    </row>
    <row r="94" spans="3:16" ht="15">
      <c r="C94" s="80">
        <v>42824</v>
      </c>
      <c r="D94" s="28">
        <v>11112.7</v>
      </c>
      <c r="F94" s="112" t="s">
        <v>58</v>
      </c>
      <c r="G94" s="322"/>
      <c r="H94" s="322"/>
      <c r="I94" s="117"/>
      <c r="J94" s="323"/>
      <c r="K94" s="323"/>
      <c r="L94" s="323"/>
      <c r="M94" s="323"/>
      <c r="N94" s="323"/>
      <c r="O94" s="321"/>
      <c r="P94" s="321"/>
    </row>
    <row r="95" spans="3:16" ht="15.75" customHeight="1">
      <c r="C95" s="80">
        <v>42823</v>
      </c>
      <c r="D95" s="28">
        <v>8830.3</v>
      </c>
      <c r="F95" s="67"/>
      <c r="G95" s="322"/>
      <c r="H95" s="322"/>
      <c r="I95" s="117"/>
      <c r="J95" s="324"/>
      <c r="K95" s="324"/>
      <c r="L95" s="324"/>
      <c r="M95" s="324"/>
      <c r="N95" s="324"/>
      <c r="O95" s="321"/>
      <c r="P95" s="321"/>
    </row>
    <row r="96" spans="3:14" ht="15.75" customHeight="1">
      <c r="C96" s="80"/>
      <c r="F96" s="67"/>
      <c r="G96" s="328"/>
      <c r="H96" s="328"/>
      <c r="I96" s="123"/>
      <c r="J96" s="323"/>
      <c r="K96" s="323"/>
      <c r="L96" s="323"/>
      <c r="M96" s="323"/>
      <c r="N96" s="323"/>
    </row>
    <row r="97" spans="2:14" ht="18" customHeight="1">
      <c r="B97" s="329" t="s">
        <v>56</v>
      </c>
      <c r="C97" s="330"/>
      <c r="D97" s="132">
        <v>1399.2856000000002</v>
      </c>
      <c r="E97" s="68"/>
      <c r="F97" s="124" t="s">
        <v>105</v>
      </c>
      <c r="G97" s="322"/>
      <c r="H97" s="322"/>
      <c r="I97" s="125"/>
      <c r="J97" s="323"/>
      <c r="K97" s="323"/>
      <c r="L97" s="323"/>
      <c r="M97" s="323"/>
      <c r="N97" s="323"/>
    </row>
    <row r="98" spans="6:13" ht="9.75" customHeight="1">
      <c r="F98" s="67"/>
      <c r="G98" s="322"/>
      <c r="H98" s="322"/>
      <c r="I98" s="67"/>
      <c r="J98" s="68"/>
      <c r="K98" s="68"/>
      <c r="L98" s="68"/>
      <c r="M98" s="68"/>
    </row>
    <row r="99" spans="2:13" ht="22.5" customHeight="1" hidden="1">
      <c r="B99" s="325" t="s">
        <v>59</v>
      </c>
      <c r="C99" s="326"/>
      <c r="D99" s="79">
        <v>0</v>
      </c>
      <c r="E99" s="50" t="s">
        <v>24</v>
      </c>
      <c r="F99" s="67"/>
      <c r="G99" s="322"/>
      <c r="H99" s="322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27"/>
      <c r="P101" s="327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92" t="s">
        <v>138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137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131</v>
      </c>
      <c r="O3" s="305" t="s">
        <v>135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136</v>
      </c>
      <c r="F4" s="308" t="s">
        <v>33</v>
      </c>
      <c r="G4" s="310" t="s">
        <v>132</v>
      </c>
      <c r="H4" s="303" t="s">
        <v>133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139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134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21"/>
      <c r="P90" s="321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42790</v>
      </c>
      <c r="D92" s="28">
        <v>4206.9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v>7713.34596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6" sqref="D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92" t="s">
        <v>130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85"/>
      <c r="S1" s="86"/>
    </row>
    <row r="2" spans="2:19" s="1" customFormat="1" ht="15.75" customHeight="1">
      <c r="B2" s="293"/>
      <c r="C2" s="293"/>
      <c r="D2" s="293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94"/>
      <c r="B3" s="296"/>
      <c r="C3" s="297" t="s">
        <v>0</v>
      </c>
      <c r="D3" s="298" t="s">
        <v>121</v>
      </c>
      <c r="E3" s="31"/>
      <c r="F3" s="299" t="s">
        <v>26</v>
      </c>
      <c r="G3" s="300"/>
      <c r="H3" s="300"/>
      <c r="I3" s="300"/>
      <c r="J3" s="301"/>
      <c r="K3" s="82"/>
      <c r="L3" s="82"/>
      <c r="M3" s="82"/>
      <c r="N3" s="302" t="s">
        <v>119</v>
      </c>
      <c r="O3" s="305" t="s">
        <v>115</v>
      </c>
      <c r="P3" s="305"/>
      <c r="Q3" s="305"/>
      <c r="R3" s="305"/>
      <c r="S3" s="305"/>
    </row>
    <row r="4" spans="1:19" ht="22.5" customHeight="1">
      <c r="A4" s="294"/>
      <c r="B4" s="296"/>
      <c r="C4" s="297"/>
      <c r="D4" s="298"/>
      <c r="E4" s="306" t="s">
        <v>122</v>
      </c>
      <c r="F4" s="308" t="s">
        <v>33</v>
      </c>
      <c r="G4" s="310" t="s">
        <v>123</v>
      </c>
      <c r="H4" s="303" t="s">
        <v>124</v>
      </c>
      <c r="I4" s="310" t="s">
        <v>125</v>
      </c>
      <c r="J4" s="303" t="s">
        <v>126</v>
      </c>
      <c r="K4" s="84" t="s">
        <v>128</v>
      </c>
      <c r="L4" s="202" t="s">
        <v>111</v>
      </c>
      <c r="M4" s="89" t="s">
        <v>63</v>
      </c>
      <c r="N4" s="303"/>
      <c r="O4" s="312" t="s">
        <v>120</v>
      </c>
      <c r="P4" s="310" t="s">
        <v>49</v>
      </c>
      <c r="Q4" s="314" t="s">
        <v>48</v>
      </c>
      <c r="R4" s="90" t="s">
        <v>64</v>
      </c>
      <c r="S4" s="91" t="s">
        <v>63</v>
      </c>
    </row>
    <row r="5" spans="1:19" ht="67.5" customHeight="1">
      <c r="A5" s="295"/>
      <c r="B5" s="296"/>
      <c r="C5" s="297"/>
      <c r="D5" s="298"/>
      <c r="E5" s="307"/>
      <c r="F5" s="309"/>
      <c r="G5" s="311"/>
      <c r="H5" s="304"/>
      <c r="I5" s="311"/>
      <c r="J5" s="304"/>
      <c r="K5" s="315" t="s">
        <v>129</v>
      </c>
      <c r="L5" s="316"/>
      <c r="M5" s="317"/>
      <c r="N5" s="304"/>
      <c r="O5" s="313"/>
      <c r="P5" s="311"/>
      <c r="Q5" s="314"/>
      <c r="R5" s="315" t="s">
        <v>102</v>
      </c>
      <c r="S5" s="31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20"/>
      <c r="H89" s="320"/>
      <c r="I89" s="320"/>
      <c r="J89" s="32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21"/>
      <c r="P90" s="321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22"/>
      <c r="H91" s="322"/>
      <c r="I91" s="117"/>
      <c r="J91" s="323"/>
      <c r="K91" s="323"/>
      <c r="L91" s="323"/>
      <c r="M91" s="323"/>
      <c r="N91" s="323"/>
      <c r="O91" s="321"/>
      <c r="P91" s="321"/>
    </row>
    <row r="92" spans="3:16" ht="15.75" customHeight="1">
      <c r="C92" s="80">
        <v>42762</v>
      </c>
      <c r="D92" s="28">
        <v>8862.4</v>
      </c>
      <c r="F92" s="67"/>
      <c r="G92" s="322"/>
      <c r="H92" s="322"/>
      <c r="I92" s="117"/>
      <c r="J92" s="324"/>
      <c r="K92" s="324"/>
      <c r="L92" s="324"/>
      <c r="M92" s="324"/>
      <c r="N92" s="324"/>
      <c r="O92" s="321"/>
      <c r="P92" s="321"/>
    </row>
    <row r="93" spans="3:14" ht="15.75" customHeight="1">
      <c r="C93" s="80"/>
      <c r="F93" s="67"/>
      <c r="G93" s="328"/>
      <c r="H93" s="328"/>
      <c r="I93" s="123"/>
      <c r="J93" s="323"/>
      <c r="K93" s="323"/>
      <c r="L93" s="323"/>
      <c r="M93" s="323"/>
      <c r="N93" s="323"/>
    </row>
    <row r="94" spans="2:14" ht="18.75" customHeight="1">
      <c r="B94" s="329" t="s">
        <v>56</v>
      </c>
      <c r="C94" s="330"/>
      <c r="D94" s="132">
        <f>9505303.41/1000</f>
        <v>9505.30341</v>
      </c>
      <c r="E94" s="68"/>
      <c r="F94" s="124" t="s">
        <v>105</v>
      </c>
      <c r="G94" s="322"/>
      <c r="H94" s="322"/>
      <c r="I94" s="125"/>
      <c r="J94" s="323"/>
      <c r="K94" s="323"/>
      <c r="L94" s="323"/>
      <c r="M94" s="323"/>
      <c r="N94" s="323"/>
    </row>
    <row r="95" spans="6:13" ht="9.75" customHeight="1">
      <c r="F95" s="67"/>
      <c r="G95" s="322"/>
      <c r="H95" s="322"/>
      <c r="I95" s="67"/>
      <c r="J95" s="68"/>
      <c r="K95" s="68"/>
      <c r="L95" s="68"/>
      <c r="M95" s="68"/>
    </row>
    <row r="96" spans="2:13" ht="22.5" customHeight="1" hidden="1">
      <c r="B96" s="325" t="s">
        <v>59</v>
      </c>
      <c r="C96" s="326"/>
      <c r="D96" s="79">
        <v>0</v>
      </c>
      <c r="E96" s="50" t="s">
        <v>24</v>
      </c>
      <c r="F96" s="67"/>
      <c r="G96" s="322"/>
      <c r="H96" s="322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27"/>
      <c r="P98" s="327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2017-07-25T11:22:11Z</cp:lastPrinted>
  <dcterms:created xsi:type="dcterms:W3CDTF">2003-07-28T11:27:56Z</dcterms:created>
  <dcterms:modified xsi:type="dcterms:W3CDTF">2017-07-25T11:43:17Z</dcterms:modified>
  <cp:category/>
  <cp:version/>
  <cp:contentType/>
  <cp:contentStatus/>
</cp:coreProperties>
</file>